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11640" tabRatio="925" firstSheet="3" activeTab="3"/>
  </bookViews>
  <sheets>
    <sheet name="Help" sheetId="1" r:id="rId1"/>
    <sheet name="Introduction" sheetId="2" r:id="rId2"/>
    <sheet name="Throttle Position Jetting" sheetId="3" r:id="rId3"/>
    <sheet name="PWK Chart" sheetId="4" r:id="rId4"/>
    <sheet name="FCR Chart" sheetId="5" r:id="rId5"/>
    <sheet name="Needles PWK" sheetId="6" r:id="rId6"/>
    <sheet name="Needles FCR" sheetId="7" r:id="rId7"/>
    <sheet name="Examples" sheetId="8" r:id="rId8"/>
    <sheet name="Keihin Tables" sheetId="9" r:id="rId9"/>
    <sheet name="PWK Calc Data" sheetId="10" r:id="rId10"/>
    <sheet name="FCR Calc Data" sheetId="11" r:id="rId11"/>
    <sheet name="PWK Needle Data" sheetId="12" r:id="rId12"/>
    <sheet name=" FCR Needle Data" sheetId="13" r:id="rId13"/>
  </sheets>
  <definedNames>
    <definedName name="_xlnm.Print_Area" localSheetId="1">'Introduction'!$A$1:$K$65</definedName>
    <definedName name="_xlnm.Print_Area" localSheetId="3">'PWK Chart'!$A$1:$Q$60</definedName>
  </definedNames>
  <calcPr fullCalcOnLoad="1"/>
</workbook>
</file>

<file path=xl/sharedStrings.xml><?xml version="1.0" encoding="utf-8"?>
<sst xmlns="http://schemas.openxmlformats.org/spreadsheetml/2006/main" count="935" uniqueCount="299">
  <si>
    <t>A</t>
  </si>
  <si>
    <t>[deg]</t>
  </si>
  <si>
    <t>L1</t>
  </si>
  <si>
    <t>D</t>
  </si>
  <si>
    <t>Diameter</t>
  </si>
  <si>
    <t>[mm]</t>
  </si>
  <si>
    <t>Clip</t>
  </si>
  <si>
    <t>Position</t>
  </si>
  <si>
    <t>E</t>
  </si>
  <si>
    <t xml:space="preserve">Throttle </t>
  </si>
  <si>
    <t>Needle</t>
  </si>
  <si>
    <t>L</t>
  </si>
  <si>
    <t>LC =</t>
  </si>
  <si>
    <t>Maximum linear travel of slide</t>
  </si>
  <si>
    <t>LS =</t>
  </si>
  <si>
    <t>LMIN =</t>
  </si>
  <si>
    <t>TP</t>
  </si>
  <si>
    <t>Distance between clip positions</t>
  </si>
  <si>
    <t>Needle #1</t>
  </si>
  <si>
    <t>Needle #2</t>
  </si>
  <si>
    <t>Taper:A</t>
  </si>
  <si>
    <t>B</t>
  </si>
  <si>
    <t>C</t>
  </si>
  <si>
    <t>F</t>
  </si>
  <si>
    <t>G</t>
  </si>
  <si>
    <t>H</t>
  </si>
  <si>
    <t>I</t>
  </si>
  <si>
    <t>J</t>
  </si>
  <si>
    <t>K</t>
  </si>
  <si>
    <t>N</t>
  </si>
  <si>
    <t>O</t>
  </si>
  <si>
    <t>P</t>
  </si>
  <si>
    <t>Q</t>
  </si>
  <si>
    <t>R</t>
  </si>
  <si>
    <t>S</t>
  </si>
  <si>
    <t>T</t>
  </si>
  <si>
    <t>U</t>
  </si>
  <si>
    <t>V</t>
  </si>
  <si>
    <t>W</t>
  </si>
  <si>
    <t>X</t>
  </si>
  <si>
    <t>Y</t>
  </si>
  <si>
    <t>Z</t>
  </si>
  <si>
    <t>Dia:D</t>
  </si>
  <si>
    <t>Needle #3</t>
  </si>
  <si>
    <t>x</t>
  </si>
  <si>
    <t>Keihin Data</t>
  </si>
  <si>
    <t>Min distance needle is exposed at idle</t>
  </si>
  <si>
    <t>M</t>
  </si>
  <si>
    <t>LT1</t>
  </si>
  <si>
    <t>LT2</t>
  </si>
  <si>
    <t>A1</t>
  </si>
  <si>
    <t>A2</t>
  </si>
  <si>
    <t>LT3</t>
  </si>
  <si>
    <t>A3</t>
  </si>
  <si>
    <t>ZF</t>
  </si>
  <si>
    <t>ZG</t>
  </si>
  <si>
    <t>ZH</t>
  </si>
  <si>
    <t>Zone 1</t>
  </si>
  <si>
    <t>Zone 2</t>
  </si>
  <si>
    <t>Zone 3</t>
  </si>
  <si>
    <t>D1</t>
  </si>
  <si>
    <t>D2</t>
  </si>
  <si>
    <t>D3</t>
  </si>
  <si>
    <t>LT</t>
  </si>
  <si>
    <t># Tapers =</t>
  </si>
  <si>
    <t>ZI</t>
  </si>
  <si>
    <t>5C</t>
  </si>
  <si>
    <t>5D</t>
  </si>
  <si>
    <t>Description:</t>
  </si>
  <si>
    <t>Instructions:</t>
  </si>
  <si>
    <t>Step 1:</t>
  </si>
  <si>
    <t>Step 2:</t>
  </si>
  <si>
    <t>Step 3:</t>
  </si>
  <si>
    <t>Step 4:</t>
  </si>
  <si>
    <t>Repeat steps 2 and 3 for up to 2 more needle selections for comparison, chart is updated automatically after each entry</t>
  </si>
  <si>
    <t>Select Chart area with mouse</t>
  </si>
  <si>
    <t>Print chart</t>
  </si>
  <si>
    <t>Acknowledgements:</t>
  </si>
  <si>
    <t>Updates:</t>
  </si>
  <si>
    <t>Assume 38mm Carburetor</t>
  </si>
  <si>
    <t>[min]</t>
  </si>
  <si>
    <t xml:space="preserve">D </t>
  </si>
  <si>
    <t>5E</t>
  </si>
  <si>
    <t>N8xx Series</t>
  </si>
  <si>
    <t>NOZx Series</t>
  </si>
  <si>
    <t>N427-48xxx Series</t>
  </si>
  <si>
    <t>Triple Taper</t>
  </si>
  <si>
    <t>Single Taper</t>
  </si>
  <si>
    <t>R13</t>
  </si>
  <si>
    <t>R11</t>
  </si>
  <si>
    <t>R14</t>
  </si>
  <si>
    <t>R20</t>
  </si>
  <si>
    <t>R Series</t>
  </si>
  <si>
    <t>Clip Pos. From Top</t>
  </si>
  <si>
    <t>If you want a printout of the chart only:</t>
  </si>
  <si>
    <r>
      <t xml:space="preserve">Enter the designation of needle in the </t>
    </r>
    <r>
      <rPr>
        <b/>
        <sz val="10"/>
        <rFont val="Arial"/>
        <family val="2"/>
      </rPr>
      <t>gray area</t>
    </r>
    <r>
      <rPr>
        <sz val="10"/>
        <rFont val="Arial"/>
        <family val="0"/>
      </rPr>
      <t xml:space="preserve"> of the spreadsheet only.  Use the following input formats:</t>
    </r>
  </si>
  <si>
    <t>#1</t>
  </si>
  <si>
    <t>#2</t>
  </si>
  <si>
    <t>#3</t>
  </si>
  <si>
    <t>Assume 39mm Carburetor</t>
  </si>
  <si>
    <t>L1-2mm</t>
  </si>
  <si>
    <t>Select "PWK Chart" or "FCR Chart" worksheet.</t>
  </si>
  <si>
    <r>
      <t xml:space="preserve">   For </t>
    </r>
    <r>
      <rPr>
        <b/>
        <sz val="10"/>
        <rFont val="Arial"/>
        <family val="2"/>
      </rPr>
      <t>NOZx</t>
    </r>
    <r>
      <rPr>
        <sz val="10"/>
        <rFont val="Arial"/>
        <family val="0"/>
      </rPr>
      <t xml:space="preserve"> needles (PWK Only):     </t>
    </r>
    <r>
      <rPr>
        <b/>
        <sz val="10"/>
        <rFont val="Arial"/>
        <family val="2"/>
      </rPr>
      <t xml:space="preserve">| N | O | ZF | 1 |         | N | O | ZG | 2 |     | N | O | ZH | 3 |  </t>
    </r>
  </si>
  <si>
    <t xml:space="preserve">                                                      | R11 | 66 | L | 2 |      | R20 | 70 | N | 1 |</t>
  </si>
  <si>
    <r>
      <t xml:space="preserve">   For single taper needles:               </t>
    </r>
    <r>
      <rPr>
        <b/>
        <sz val="10"/>
        <rFont val="Arial"/>
        <family val="2"/>
      </rPr>
      <t>| C | G | H | 1 |          | C | E | J | 2 |</t>
    </r>
  </si>
  <si>
    <r>
      <t xml:space="preserve">   For </t>
    </r>
    <r>
      <rPr>
        <b/>
        <sz val="10"/>
        <rFont val="Arial"/>
        <family val="2"/>
      </rPr>
      <t>N8xx</t>
    </r>
    <r>
      <rPr>
        <sz val="10"/>
        <rFont val="Arial"/>
        <family val="0"/>
      </rPr>
      <t xml:space="preserve"> needles (PWK Only):</t>
    </r>
    <r>
      <rPr>
        <b/>
        <sz val="10"/>
        <rFont val="Arial"/>
        <family val="2"/>
      </rPr>
      <t xml:space="preserve">     | N | 8 | 5C | 1 |          | N | 8 | 5D | 2 |      | N | 8 | 5E | 3 |</t>
    </r>
    <r>
      <rPr>
        <sz val="10"/>
        <rFont val="Arial"/>
        <family val="0"/>
      </rPr>
      <t xml:space="preserve">     </t>
    </r>
  </si>
  <si>
    <t>Enter Clip position in the gray area of the spreadsheet, top being #1 position (i.e. farthest from tapered end). Allowable positions are 1-5 for PWK and 1-7 for FCR needles.</t>
  </si>
  <si>
    <t>Needles available through:</t>
  </si>
  <si>
    <t>Holeshot Forum:</t>
  </si>
  <si>
    <t>Keihin Carburetor Page</t>
  </si>
  <si>
    <t>ZE</t>
  </si>
  <si>
    <t>PWK Note:</t>
  </si>
  <si>
    <t>FCR Note:</t>
  </si>
  <si>
    <t xml:space="preserve">The Keihin N427-OCxxx, -OBxx series needles listed on the "FCR Needle Data" sheet are not all readily available.  Common needles start with DQ, DT, DV, DX, EJ, EK, EL, EM, FH and have last letters M,N,P,Q,R.  Keihin needles are brass and are coded OCxxx, OEM needles are plated and coded OBxxx.     </t>
  </si>
  <si>
    <t>N427-OCxxx &amp; -OBxxx Series</t>
  </si>
  <si>
    <t>The Keihin N427-48xxx series needles listed on the "PWK Needle Data" sheet are not all readily available.  Common needles start with BE, BG, CC, CE, CG, DC, DD, DE, DG, EC, EE, EG and have last letters: G, H, J, K, L, M, N</t>
  </si>
  <si>
    <t xml:space="preserve"> </t>
  </si>
  <si>
    <t>Trobleshooting:</t>
  </si>
  <si>
    <t>The program tries to fill in words after you type a single letter into a cell:</t>
  </si>
  <si>
    <t>Q:</t>
  </si>
  <si>
    <t>A:</t>
  </si>
  <si>
    <r>
      <t xml:space="preserve">Go to menu labeled: </t>
    </r>
    <r>
      <rPr>
        <b/>
        <sz val="10"/>
        <color indexed="17"/>
        <rFont val="Arial"/>
        <family val="2"/>
      </rPr>
      <t>Tools-&gt;Options-&gt;Edit</t>
    </r>
    <r>
      <rPr>
        <sz val="10"/>
        <color indexed="17"/>
        <rFont val="Arial"/>
        <family val="2"/>
      </rPr>
      <t xml:space="preserve">  then "uncheck" the box at the bottom left that reads "</t>
    </r>
    <r>
      <rPr>
        <b/>
        <sz val="10"/>
        <color indexed="17"/>
        <rFont val="Arial"/>
        <family val="2"/>
      </rPr>
      <t>Enable auto-complete for cell values</t>
    </r>
    <r>
      <rPr>
        <sz val="10"/>
        <color indexed="17"/>
        <rFont val="Arial"/>
        <family val="2"/>
      </rPr>
      <t>"</t>
    </r>
  </si>
  <si>
    <t>http://www.holeshotforum.com/cgi-bin/Ultimate.cgi</t>
  </si>
  <si>
    <t>http://www.keihin-us.com/carb.html</t>
  </si>
  <si>
    <t>http://www.carbparts.com/</t>
  </si>
  <si>
    <t>http://www.sudco.com/</t>
  </si>
  <si>
    <r>
      <t>"</t>
    </r>
    <r>
      <rPr>
        <b/>
        <sz val="10"/>
        <rFont val="Arial"/>
        <family val="2"/>
      </rPr>
      <t>UpSideUp</t>
    </r>
    <r>
      <rPr>
        <sz val="10"/>
        <rFont val="Arial"/>
        <family val="0"/>
      </rPr>
      <t>" (wbarrow@att.net) and "</t>
    </r>
    <r>
      <rPr>
        <b/>
        <sz val="10"/>
        <rFont val="Arial"/>
        <family val="2"/>
      </rPr>
      <t>James Dean</t>
    </r>
    <r>
      <rPr>
        <sz val="10"/>
        <rFont val="Arial"/>
        <family val="0"/>
      </rPr>
      <t xml:space="preserve">" (jimandjulie.wa@netzero.net) from the Holeshot KTM forum. </t>
    </r>
  </si>
  <si>
    <t>Stock Jetting examples:</t>
  </si>
  <si>
    <t>YZ250F - ELP-4</t>
  </si>
  <si>
    <t>WR250F - ELP-3</t>
  </si>
  <si>
    <t>WR400 - DTM-3, DXM-4, DRS-3, DRQ-4</t>
  </si>
  <si>
    <t>CRF450 - EKR-4</t>
  </si>
  <si>
    <t>Stock Jetting Examples:</t>
  </si>
  <si>
    <t>KTM 400 SX/EXC - DTM-4/DTM-3</t>
  </si>
  <si>
    <t>KTM 520 SX/EXC - DTM-3/DTM-2</t>
  </si>
  <si>
    <t>James Dean's Picks: EMN-3,4,5 FHN-4,5</t>
  </si>
  <si>
    <t>ND2 =</t>
  </si>
  <si>
    <t xml:space="preserve">Note: This is an approximation of fuel mixture change. </t>
  </si>
  <si>
    <t>[mm2]</t>
  </si>
  <si>
    <t>8.41 actual</t>
  </si>
  <si>
    <t>Sensitive variable for first taper</t>
  </si>
  <si>
    <t>Nozzle diameter squared (adjusted=8.2)</t>
  </si>
  <si>
    <t>YZ426F - EJP-4, EKR-4</t>
  </si>
  <si>
    <t>STRAIGHT DIAMETER CHANGE</t>
  </si>
  <si>
    <t>CLIP POSITION CHANGE</t>
  </si>
  <si>
    <t>MIXED STRAIGHT DIAMETER AND CLIP POSITION</t>
  </si>
  <si>
    <t>Main Jet</t>
  </si>
  <si>
    <t>Pilot Jet</t>
  </si>
  <si>
    <t>ND2+MJ =</t>
  </si>
  <si>
    <t>EXP N =</t>
  </si>
  <si>
    <t>EXP M =</t>
  </si>
  <si>
    <t>ROOT =</t>
  </si>
  <si>
    <t>Needle Code (OB-, OC-)</t>
  </si>
  <si>
    <t>Temp</t>
  </si>
  <si>
    <t>Altitude ( ft )</t>
  </si>
  <si>
    <t>Alt</t>
  </si>
  <si>
    <t>Alt =</t>
  </si>
  <si>
    <t>Temp=</t>
  </si>
  <si>
    <t>Change in altitude / factor = %</t>
  </si>
  <si>
    <t>Change in temp / factor = %</t>
  </si>
  <si>
    <t>DeltaT</t>
  </si>
  <si>
    <t>DeltaA</t>
  </si>
  <si>
    <t>5A</t>
  </si>
  <si>
    <t>5B</t>
  </si>
  <si>
    <t>R10</t>
  </si>
  <si>
    <t>R21</t>
  </si>
  <si>
    <t>R23</t>
  </si>
  <si>
    <t>R30</t>
  </si>
  <si>
    <t>R24</t>
  </si>
  <si>
    <t>N8Rx Series</t>
  </si>
  <si>
    <t>STK</t>
  </si>
  <si>
    <t>02KX</t>
  </si>
  <si>
    <t>02RM</t>
  </si>
  <si>
    <t>N3Ex Series</t>
  </si>
  <si>
    <t>02YZ</t>
  </si>
  <si>
    <t>RF</t>
  </si>
  <si>
    <t>RG</t>
  </si>
  <si>
    <t>RH</t>
  </si>
  <si>
    <t>EH</t>
  </si>
  <si>
    <t>EJ</t>
  </si>
  <si>
    <t>EK</t>
  </si>
  <si>
    <t>02SX</t>
  </si>
  <si>
    <t xml:space="preserve">90's CR250-500 - R1368N, R1369N, R1370N </t>
  </si>
  <si>
    <t>90's CR250 Options - R1368L, R1368M, R1369L, R1369M, R1370L, R1370M</t>
  </si>
  <si>
    <t>2002 KTM 125-380 - NOZE, NOZF, NOZG, NOZH, NOZI</t>
  </si>
  <si>
    <t>90's KTM 125-360 - N85B, N85C, N85D, N85E</t>
  </si>
  <si>
    <t>ZX7</t>
  </si>
  <si>
    <t>NAFx Series</t>
  </si>
  <si>
    <t>FE</t>
  </si>
  <si>
    <t>FG</t>
  </si>
  <si>
    <t>FF</t>
  </si>
  <si>
    <t>FD</t>
  </si>
  <si>
    <t>Taper</t>
  </si>
  <si>
    <t>L1 height</t>
  </si>
  <si>
    <t>7 positions</t>
  </si>
  <si>
    <t>5 positions</t>
  </si>
  <si>
    <t>Needle Code**</t>
  </si>
  <si>
    <t>**The needle code labels change order for the OEM needles</t>
  </si>
  <si>
    <t>WR426 - DRR-3, DQR-3</t>
  </si>
  <si>
    <t>1/4-3/8 throttle when changing needles.</t>
  </si>
  <si>
    <t>Tip: Try to closely match the diameters at</t>
  </si>
  <si>
    <t>See for example: EMN-4, DTM-3, FHN-4</t>
  </si>
  <si>
    <t>See for example: CEJ-4, DDK-3, BEK-3</t>
  </si>
  <si>
    <t>EXAMPLE - Straight diameter change</t>
  </si>
  <si>
    <t>(R1370N-3, R1372N-3, R1368N-3)</t>
  </si>
  <si>
    <t>(CGL-3, CGN-3, CGJ-3)</t>
  </si>
  <si>
    <t>EXAMPLE - Clip position change</t>
  </si>
  <si>
    <t>(R1370N-3, R1370N-2, R1370N-4)</t>
  </si>
  <si>
    <t>(CGL-3, CGL-2, CGL-4)</t>
  </si>
  <si>
    <t>EXAMPLE - Taper change</t>
  </si>
  <si>
    <t>(ELP-4,ELQ-4,ELN-4)</t>
  </si>
  <si>
    <t>(EMN-4, EMP-4, EMM-4)</t>
  </si>
  <si>
    <t>(ELP-4,ELP-3,ELP-5)</t>
  </si>
  <si>
    <t>(EMN-4, EMN-3, EMN-5)</t>
  </si>
  <si>
    <t>(ELM-3,DTM-3,FHM-4)</t>
  </si>
  <si>
    <t>(EMP-4, DVP-4, FHP-4)</t>
  </si>
  <si>
    <t>This Excel spreadsheet was developed for Keihin PWK, PJ and FCR needles.  It calculates and plots the needle diameter as a function of throttle position for up to three different needle sizes given the designation of each needle and the clip position (i.e. position from top of needle).  The vertical axis of the plot is in reverse numerical order since a smaller needle diameter delivers more fuel. Some error checking is done to verify that the user input data is in the database and that incorrect combinations of needle data are not input.  The presence of a RED cell indicates a problem in that row of input data.  It in no way catches all of the possible errors but it helps.</t>
  </si>
  <si>
    <t>Needle Parameters:</t>
  </si>
  <si>
    <t>03 Nov 2001 - Released initial version to Holeshot KTM members</t>
  </si>
  <si>
    <t>JD_WB_Needles_12.xls</t>
  </si>
  <si>
    <t>(CGL-3, BGL-1, EGL-4)</t>
  </si>
  <si>
    <t>(R1370N-3, R1170N-1, R2070N-4)</t>
  </si>
  <si>
    <t>TAPER INCREASE FOR KDX200/220</t>
  </si>
  <si>
    <t>TAPER CHANGE TO BALANCE 1/4-3/4</t>
  </si>
  <si>
    <t>SINGLE TAPER NEEDLES FOR KTM 2-STROKE's</t>
  </si>
  <si>
    <t>Result: Increases mid-throttle power</t>
  </si>
  <si>
    <t>Result: Reduces 1/4 throttle sputter, smooth power</t>
  </si>
  <si>
    <t>Result: Increases mid-throttle power, improved response</t>
  </si>
  <si>
    <t>EW</t>
  </si>
  <si>
    <t>ZD</t>
  </si>
  <si>
    <t>WD</t>
  </si>
  <si>
    <t>WE</t>
  </si>
  <si>
    <t>WF</t>
  </si>
  <si>
    <t>WG</t>
  </si>
  <si>
    <t>MOD</t>
  </si>
  <si>
    <t>N3Wx Series</t>
  </si>
  <si>
    <t>RW</t>
  </si>
  <si>
    <t>2002 YZ250 N3EH, N3EW, N3EJ, N3EK</t>
  </si>
  <si>
    <t>2002 RM250 N8RF, N8RG, N8RH, N8RW</t>
  </si>
  <si>
    <t>2002 KX250 NAFD, NAFE, NAFF, NAFG</t>
  </si>
  <si>
    <t>KDX200/220 - R1172N, R1173N, R1174N</t>
  </si>
  <si>
    <t>Needle Profile Written By:</t>
  </si>
  <si>
    <t>JD_Jetting_2002.xls</t>
  </si>
  <si>
    <t>15 Dec 2001 - Tuning Guide with Intro, Tutorial, Needles PWK, Needles FCR, Examples</t>
  </si>
  <si>
    <t>TAPER INCREASE FOR KTM RFS</t>
  </si>
  <si>
    <t>DIAMETER REDUCED AND TAPER INCREASED FOR WR400/426</t>
  </si>
  <si>
    <t>Result: Balances sputter from 1/8 throttle with pinging at 1/4</t>
  </si>
  <si>
    <t>KX250 NEEDLE FOR KTM 2-STROKE's</t>
  </si>
  <si>
    <t>Result: Triple taper options to replace NOZ- needles (N3WE,N3WF)</t>
  </si>
  <si>
    <t>This spreadsheet may not be copied, reproduced, nor retransmitted in whole or in part without the express permission of the author.</t>
  </si>
  <si>
    <t xml:space="preserve"> Tuning Guide by:</t>
  </si>
  <si>
    <r>
      <t>"</t>
    </r>
    <r>
      <rPr>
        <b/>
        <sz val="10"/>
        <rFont val="Arial"/>
        <family val="2"/>
      </rPr>
      <t>James Dean</t>
    </r>
    <r>
      <rPr>
        <sz val="10"/>
        <rFont val="Arial"/>
        <family val="0"/>
      </rPr>
      <t xml:space="preserve">" (jimandjulie.wa@netzero.net) </t>
    </r>
  </si>
  <si>
    <t>DIAMETER REDUCED AND TAPER INCREASED FOR YZ250F/WR250F</t>
  </si>
  <si>
    <t>Result: Improved off-idle response and mid-throttle power</t>
  </si>
  <si>
    <t>ZX1</t>
  </si>
  <si>
    <t>ZX2</t>
  </si>
  <si>
    <t>ZX3</t>
  </si>
  <si>
    <t>ZX4</t>
  </si>
  <si>
    <t>ZX5</t>
  </si>
  <si>
    <t>ZX6</t>
  </si>
  <si>
    <t>R1369EKA</t>
  </si>
  <si>
    <t>R1370EKA</t>
  </si>
  <si>
    <t>R1371EKA</t>
  </si>
  <si>
    <t>R1368EKA</t>
  </si>
  <si>
    <t>See these other great tuning guides and resources on the web:</t>
  </si>
  <si>
    <t>www.lifenet.com/brm/carbkei.htm</t>
  </si>
  <si>
    <t>www.keihin-us.com/carb.html</t>
  </si>
  <si>
    <t>www.carbparts.com/</t>
  </si>
  <si>
    <t>www.sudco.com/</t>
  </si>
  <si>
    <t>02CR</t>
  </si>
  <si>
    <t>WX</t>
  </si>
  <si>
    <t>2002 CR250 (Mikuni needle 6BEY30-74,use code N-A-WX)</t>
  </si>
  <si>
    <t>Patrick Burns gives detailed instructions for the FCR carb</t>
  </si>
  <si>
    <t>Sudco is a source for jets and needles</t>
  </si>
  <si>
    <t>Carb Parts Warehouse is a source for jets and needles</t>
  </si>
  <si>
    <t>www.ericgorr.com/techarticles/carbtuning.html#a</t>
  </si>
  <si>
    <t>Eric Gorr's article gives tips on how to evaluate by "Ride and Feel" methods</t>
  </si>
  <si>
    <t>www.justkdx.dirtrider.net</t>
  </si>
  <si>
    <t>See "Caruretor Tuning" at: www.keihin-us.com/carb.html</t>
  </si>
  <si>
    <t>Canadian Dave's jetting article's are excellent, see "Carb Tuning" and "Understanding Jet Needles"</t>
  </si>
  <si>
    <t>See "Carburetor Tuning" for basic FCR jetting pamphlet instructions</t>
  </si>
  <si>
    <t>Needle #4</t>
  </si>
  <si>
    <t>Needle #5</t>
  </si>
  <si>
    <t>KX250 option - N3WD, N3WE, N3WF, N3WG</t>
  </si>
  <si>
    <t>Code</t>
  </si>
  <si>
    <t>C-G-K</t>
  </si>
  <si>
    <t>R13-68-N</t>
  </si>
  <si>
    <t>N-O-ZG</t>
  </si>
  <si>
    <t>This spreadsheet may not be copied, reproduced, nor retransmitted in whole or in part without the express permission of the authors.</t>
  </si>
  <si>
    <t>Setup</t>
  </si>
  <si>
    <t>Code Style</t>
  </si>
  <si>
    <t>Error Messages</t>
  </si>
  <si>
    <t>Alt. (ft)</t>
  </si>
  <si>
    <t>Temp (F)</t>
  </si>
  <si>
    <t>Temp     (deg F)</t>
  </si>
  <si>
    <t>#4</t>
  </si>
  <si>
    <t>#5</t>
  </si>
  <si>
    <t>Chart Title 1</t>
  </si>
  <si>
    <t>Chart Title 2</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</si>
</sst>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0000"/>
    <numFmt numFmtId="182" formatCode="0.0000"/>
    <numFmt numFmtId="183" formatCode="0.000"/>
    <numFmt numFmtId="184" formatCode="0.0"/>
    <numFmt numFmtId="185" formatCode="0.0000000"/>
    <numFmt numFmtId="186" formatCode="&quot;Yes&quot;;&quot;Yes&quot;;&quot;No&quot;"/>
    <numFmt numFmtId="187" formatCode="&quot;True&quot;;&quot;True&quot;;&quot;False&quot;"/>
    <numFmt numFmtId="188" formatCode="&quot;On&quot;;&quot;On&quot;;&quot;Off&quot;"/>
    <numFmt numFmtId="189" formatCode="&quot;Ja&quot;;&quot;Ja&quot;;&quot;Nein&quot;"/>
    <numFmt numFmtId="190" formatCode="&quot;Wahr&quot;;&quot;Wahr&quot;;&quot;Falsch&quot;"/>
    <numFmt numFmtId="191" formatCode="&quot;Ein&quot;;&quot;Ein&quot;;&quot;Aus&quot;"/>
    <numFmt numFmtId="192" formatCode="[$€-2]\ #,##0.00_);[Red]\([$€-2]\ #,##0.00\)"/>
  </numFmts>
  <fonts count="50">
    <font>
      <sz val="10"/>
      <name val="Arial"/>
      <family val="0"/>
    </font>
    <font>
      <b/>
      <sz val="10"/>
      <name val="Arial"/>
      <family val="2"/>
    </font>
    <font>
      <b/>
      <sz val="12"/>
      <color indexed="12"/>
      <name val="Arial"/>
      <family val="2"/>
    </font>
    <font>
      <sz val="14.25"/>
      <name val="Arial"/>
      <family val="0"/>
    </font>
    <font>
      <b/>
      <sz val="14.5"/>
      <name val="Arial"/>
      <family val="0"/>
    </font>
    <font>
      <sz val="14.5"/>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9.25"/>
      <name val="Arial"/>
      <family val="2"/>
    </font>
    <font>
      <sz val="9.25"/>
      <name val="Arial"/>
      <family val="2"/>
    </font>
    <font>
      <sz val="8.25"/>
      <name val="Arial"/>
      <family val="2"/>
    </font>
    <font>
      <b/>
      <i/>
      <sz val="10"/>
      <name val="Arial"/>
      <family val="2"/>
    </font>
    <font>
      <b/>
      <i/>
      <sz val="10"/>
      <color indexed="10"/>
      <name val="Arial"/>
      <family val="2"/>
    </font>
    <font>
      <b/>
      <sz val="12"/>
      <name val="Arial"/>
      <family val="2"/>
    </font>
    <font>
      <sz val="15.25"/>
      <name val="Arial"/>
      <family val="0"/>
    </font>
    <font>
      <sz val="10"/>
      <color indexed="10"/>
      <name val="Arial"/>
      <family val="2"/>
    </font>
    <font>
      <sz val="10"/>
      <color indexed="17"/>
      <name val="Arial"/>
      <family val="2"/>
    </font>
    <font>
      <b/>
      <sz val="10"/>
      <color indexed="17"/>
      <name val="Arial"/>
      <family val="2"/>
    </font>
    <font>
      <b/>
      <sz val="10"/>
      <color indexed="10"/>
      <name val="Arial"/>
      <family val="2"/>
    </font>
    <font>
      <b/>
      <sz val="8"/>
      <name val="Arial"/>
      <family val="2"/>
    </font>
    <font>
      <b/>
      <sz val="9"/>
      <name val="Arial"/>
      <family val="2"/>
    </font>
    <font>
      <b/>
      <i/>
      <sz val="12"/>
      <name val="Arial"/>
      <family val="2"/>
    </font>
    <font>
      <sz val="15.75"/>
      <name val="Arial"/>
      <family val="0"/>
    </font>
    <font>
      <sz val="9.5"/>
      <name val="Arial"/>
      <family val="2"/>
    </font>
    <font>
      <b/>
      <sz val="10.5"/>
      <name val="Arial"/>
      <family val="2"/>
    </font>
    <font>
      <b/>
      <sz val="16.75"/>
      <name val="Arial"/>
      <family val="0"/>
    </font>
    <font>
      <sz val="16.75"/>
      <name val="Arial"/>
      <family val="0"/>
    </font>
    <font>
      <b/>
      <sz val="10"/>
      <name val="Tahoma"/>
      <family val="2"/>
    </font>
    <font>
      <b/>
      <u val="single"/>
      <sz val="10"/>
      <name val="Tahoma"/>
      <family val="2"/>
    </font>
    <font>
      <b/>
      <sz val="10"/>
      <color indexed="10"/>
      <name val="Tahoma"/>
      <family val="2"/>
    </font>
    <font>
      <b/>
      <sz val="10"/>
      <color indexed="12"/>
      <name val="Tahoma"/>
      <family val="2"/>
    </font>
    <font>
      <b/>
      <sz val="10"/>
      <color indexed="57"/>
      <name val="Tahoma"/>
      <family val="2"/>
    </font>
    <font>
      <b/>
      <sz val="10"/>
      <color indexed="17"/>
      <name val="Tahoma"/>
      <family val="2"/>
    </font>
    <font>
      <b/>
      <u val="single"/>
      <sz val="12"/>
      <name val="Arial"/>
      <family val="2"/>
    </font>
    <font>
      <b/>
      <u val="single"/>
      <sz val="10"/>
      <color indexed="10"/>
      <name val="Tahoma"/>
      <family val="2"/>
    </font>
    <font>
      <b/>
      <u val="single"/>
      <sz val="10"/>
      <color indexed="12"/>
      <name val="Tahoma"/>
      <family val="2"/>
    </font>
    <font>
      <b/>
      <u val="single"/>
      <sz val="10"/>
      <color indexed="17"/>
      <name val="Tahoma"/>
      <family val="2"/>
    </font>
    <font>
      <u val="single"/>
      <sz val="10"/>
      <name val="Arial"/>
      <family val="2"/>
    </font>
    <font>
      <b/>
      <sz val="9.75"/>
      <name val="Arial"/>
      <family val="2"/>
    </font>
    <font>
      <b/>
      <sz val="8.25"/>
      <name val="Arial"/>
      <family val="2"/>
    </font>
    <font>
      <sz val="15"/>
      <name val="Arial"/>
      <family val="2"/>
    </font>
    <font>
      <b/>
      <sz val="15"/>
      <name val="Arial"/>
      <family val="2"/>
    </font>
    <font>
      <sz val="12"/>
      <name val="Arial"/>
      <family val="2"/>
    </font>
    <font>
      <b/>
      <sz val="16"/>
      <name val="Arial"/>
      <family val="2"/>
    </font>
    <font>
      <sz val="16.5"/>
      <name val="Arial"/>
      <family val="2"/>
    </font>
    <font>
      <b/>
      <sz val="11"/>
      <name val="Arial"/>
      <family val="2"/>
    </font>
    <font>
      <sz val="10"/>
      <color indexed="9"/>
      <name val="Arial"/>
      <family val="0"/>
    </font>
    <font>
      <b/>
      <sz val="10"/>
      <color indexed="9"/>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17"/>
        <bgColor indexed="64"/>
      </patternFill>
    </fill>
    <fill>
      <patternFill patternType="solid">
        <fgColor indexed="13"/>
        <bgColor indexed="64"/>
      </patternFill>
    </fill>
    <fill>
      <patternFill patternType="solid">
        <fgColor indexed="14"/>
        <bgColor indexed="64"/>
      </patternFill>
    </fill>
    <fill>
      <patternFill patternType="solid">
        <fgColor indexed="20"/>
        <bgColor indexed="64"/>
      </patternFill>
    </fill>
    <fill>
      <patternFill patternType="solid">
        <fgColor indexed="8"/>
        <bgColor indexed="64"/>
      </patternFill>
    </fill>
  </fills>
  <borders count="2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Alignment="1">
      <alignment horizontal="left"/>
    </xf>
    <xf numFmtId="0" fontId="0" fillId="0" borderId="0" xfId="0"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8" fillId="0" borderId="0" xfId="0" applyFont="1" applyAlignment="1">
      <alignment/>
    </xf>
    <xf numFmtId="0" fontId="9" fillId="0" borderId="0" xfId="0" applyFont="1" applyAlignment="1">
      <alignment/>
    </xf>
    <xf numFmtId="0" fontId="1" fillId="0" borderId="0" xfId="0" applyFont="1" applyAlignment="1">
      <alignment horizontal="right"/>
    </xf>
    <xf numFmtId="0" fontId="0" fillId="0" borderId="0" xfId="0" applyAlignment="1">
      <alignment horizontal="left" vertical="top"/>
    </xf>
    <xf numFmtId="2" fontId="0" fillId="0" borderId="0" xfId="0" applyNumberFormat="1" applyBorder="1" applyAlignment="1">
      <alignment horizontal="center"/>
    </xf>
    <xf numFmtId="0" fontId="0" fillId="0" borderId="0" xfId="0" applyBorder="1" applyAlignment="1">
      <alignment/>
    </xf>
    <xf numFmtId="0" fontId="0" fillId="0" borderId="2" xfId="0" applyBorder="1" applyAlignment="1">
      <alignment/>
    </xf>
    <xf numFmtId="183" fontId="0" fillId="0" borderId="0" xfId="0" applyNumberFormat="1" applyBorder="1" applyAlignment="1">
      <alignment horizontal="center"/>
    </xf>
    <xf numFmtId="183" fontId="0" fillId="0" borderId="2" xfId="0" applyNumberFormat="1" applyBorder="1" applyAlignment="1">
      <alignment horizontal="center"/>
    </xf>
    <xf numFmtId="0" fontId="0" fillId="0" borderId="1" xfId="0" applyBorder="1" applyAlignment="1">
      <alignment/>
    </xf>
    <xf numFmtId="183" fontId="1" fillId="0" borderId="1" xfId="0" applyNumberFormat="1" applyFont="1" applyBorder="1" applyAlignment="1">
      <alignment/>
    </xf>
    <xf numFmtId="1" fontId="1" fillId="0" borderId="0" xfId="0" applyNumberFormat="1" applyFont="1" applyBorder="1" applyAlignment="1">
      <alignment horizontal="center"/>
    </xf>
    <xf numFmtId="0" fontId="0" fillId="0" borderId="1" xfId="0" applyFont="1" applyBorder="1" applyAlignment="1">
      <alignment horizontal="left"/>
    </xf>
    <xf numFmtId="0" fontId="1" fillId="0" borderId="1" xfId="0" applyFont="1" applyBorder="1" applyAlignment="1">
      <alignment horizontal="left"/>
    </xf>
    <xf numFmtId="183" fontId="1" fillId="0" borderId="2" xfId="0" applyNumberFormat="1" applyFont="1" applyBorder="1" applyAlignment="1">
      <alignment horizontal="center"/>
    </xf>
    <xf numFmtId="183" fontId="0" fillId="0" borderId="0" xfId="0" applyNumberFormat="1" applyFont="1" applyBorder="1" applyAlignment="1">
      <alignment horizontal="center"/>
    </xf>
    <xf numFmtId="183" fontId="0" fillId="0" borderId="2" xfId="0" applyNumberFormat="1" applyFont="1" applyBorder="1" applyAlignment="1">
      <alignment horizontal="center"/>
    </xf>
    <xf numFmtId="2" fontId="0" fillId="0" borderId="3" xfId="0" applyNumberFormat="1" applyBorder="1" applyAlignment="1">
      <alignment horizontal="center"/>
    </xf>
    <xf numFmtId="183" fontId="0" fillId="0" borderId="3" xfId="0" applyNumberFormat="1" applyFont="1" applyBorder="1" applyAlignment="1">
      <alignment horizontal="center"/>
    </xf>
    <xf numFmtId="183" fontId="0" fillId="0" borderId="4" xfId="0" applyNumberFormat="1" applyFont="1" applyBorder="1" applyAlignment="1">
      <alignment horizontal="center"/>
    </xf>
    <xf numFmtId="49" fontId="1"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Fill="1" applyBorder="1" applyAlignment="1">
      <alignment horizontal="center"/>
    </xf>
    <xf numFmtId="0" fontId="13" fillId="0" borderId="1" xfId="0" applyFont="1" applyBorder="1" applyAlignment="1">
      <alignment horizontal="center"/>
    </xf>
    <xf numFmtId="0" fontId="13" fillId="0" borderId="0" xfId="0" applyFont="1" applyFill="1" applyBorder="1" applyAlignment="1">
      <alignment horizontal="center"/>
    </xf>
    <xf numFmtId="0" fontId="13" fillId="0" borderId="2" xfId="0" applyFont="1" applyBorder="1" applyAlignment="1">
      <alignment horizontal="center"/>
    </xf>
    <xf numFmtId="9" fontId="0" fillId="0" borderId="0" xfId="0" applyNumberFormat="1" applyBorder="1" applyAlignment="1">
      <alignment horizontal="center"/>
    </xf>
    <xf numFmtId="0" fontId="0" fillId="0" borderId="0" xfId="0" applyNumberFormat="1" applyBorder="1" applyAlignment="1">
      <alignment horizontal="center"/>
    </xf>
    <xf numFmtId="0" fontId="13" fillId="0" borderId="0" xfId="0" applyNumberFormat="1" applyFont="1" applyBorder="1" applyAlignment="1">
      <alignment horizontal="center"/>
    </xf>
    <xf numFmtId="1" fontId="0" fillId="0" borderId="0" xfId="0" applyNumberFormat="1" applyBorder="1" applyAlignment="1">
      <alignment horizontal="center"/>
    </xf>
    <xf numFmtId="183" fontId="0" fillId="0" borderId="0" xfId="0" applyNumberFormat="1" applyFill="1" applyBorder="1" applyAlignment="1">
      <alignment horizontal="center"/>
    </xf>
    <xf numFmtId="0" fontId="14" fillId="0" borderId="0" xfId="0" applyNumberFormat="1" applyFont="1" applyBorder="1" applyAlignment="1">
      <alignment horizontal="center"/>
    </xf>
    <xf numFmtId="0" fontId="1" fillId="2" borderId="0" xfId="0" applyFont="1" applyFill="1" applyBorder="1" applyAlignment="1">
      <alignment horizontal="center"/>
    </xf>
    <xf numFmtId="0" fontId="0" fillId="2" borderId="0" xfId="0" applyNumberFormat="1" applyFill="1" applyBorder="1" applyAlignment="1">
      <alignment horizontal="center"/>
    </xf>
    <xf numFmtId="0" fontId="14" fillId="2" borderId="0" xfId="0" applyNumberFormat="1" applyFont="1" applyFill="1" applyBorder="1" applyAlignment="1">
      <alignment horizontal="center"/>
    </xf>
    <xf numFmtId="183" fontId="1" fillId="0" borderId="1" xfId="0" applyNumberFormat="1" applyFont="1" applyBorder="1" applyAlignment="1">
      <alignment horizontal="center"/>
    </xf>
    <xf numFmtId="183" fontId="1" fillId="0" borderId="5" xfId="0" applyNumberFormat="1" applyFont="1" applyBorder="1" applyAlignment="1">
      <alignment horizontal="center"/>
    </xf>
    <xf numFmtId="0" fontId="1" fillId="2" borderId="2" xfId="0" applyFont="1" applyFill="1" applyBorder="1" applyAlignment="1">
      <alignment horizontal="center"/>
    </xf>
    <xf numFmtId="0" fontId="0" fillId="2" borderId="1" xfId="0" applyFont="1" applyFill="1" applyBorder="1" applyAlignment="1">
      <alignment horizontal="left"/>
    </xf>
    <xf numFmtId="0" fontId="1" fillId="2" borderId="0" xfId="0" applyFont="1" applyFill="1" applyBorder="1" applyAlignment="1">
      <alignment/>
    </xf>
    <xf numFmtId="0" fontId="0" fillId="2" borderId="0" xfId="0" applyFill="1" applyBorder="1" applyAlignment="1">
      <alignment horizontal="center"/>
    </xf>
    <xf numFmtId="49" fontId="1" fillId="2" borderId="0" xfId="0" applyNumberFormat="1" applyFont="1" applyFill="1" applyBorder="1" applyAlignment="1">
      <alignment horizontal="center"/>
    </xf>
    <xf numFmtId="0" fontId="1" fillId="0" borderId="0" xfId="0" applyFont="1" applyFill="1" applyBorder="1" applyAlignment="1">
      <alignment horizontal="center"/>
    </xf>
    <xf numFmtId="0" fontId="0" fillId="2" borderId="0" xfId="0" applyFill="1" applyAlignment="1">
      <alignment/>
    </xf>
    <xf numFmtId="0" fontId="0" fillId="2" borderId="0" xfId="0" applyNumberFormat="1" applyFont="1" applyFill="1" applyBorder="1" applyAlignment="1">
      <alignment horizontal="center"/>
    </xf>
    <xf numFmtId="0" fontId="0" fillId="0" borderId="0" xfId="0" applyNumberFormat="1" applyFont="1" applyBorder="1" applyAlignment="1">
      <alignment horizontal="center"/>
    </xf>
    <xf numFmtId="2" fontId="0" fillId="0" borderId="0" xfId="0" applyNumberFormat="1" applyFont="1" applyBorder="1" applyAlignment="1">
      <alignment horizontal="center"/>
    </xf>
    <xf numFmtId="2" fontId="14" fillId="0" borderId="0" xfId="0" applyNumberFormat="1" applyFont="1" applyBorder="1" applyAlignment="1">
      <alignment horizontal="center"/>
    </xf>
    <xf numFmtId="2" fontId="0" fillId="2" borderId="0" xfId="0" applyNumberFormat="1" applyFill="1" applyBorder="1" applyAlignment="1">
      <alignment horizontal="center"/>
    </xf>
    <xf numFmtId="2" fontId="0" fillId="2" borderId="0" xfId="0" applyNumberFormat="1" applyFont="1" applyFill="1" applyBorder="1" applyAlignment="1">
      <alignment horizontal="center"/>
    </xf>
    <xf numFmtId="2" fontId="14" fillId="2" borderId="0" xfId="0" applyNumberFormat="1" applyFont="1" applyFill="1" applyBorder="1" applyAlignment="1">
      <alignment horizontal="center"/>
    </xf>
    <xf numFmtId="183" fontId="0" fillId="0" borderId="1" xfId="0" applyNumberFormat="1" applyBorder="1" applyAlignment="1">
      <alignment/>
    </xf>
    <xf numFmtId="183" fontId="0" fillId="0" borderId="0" xfId="0" applyNumberFormat="1" applyBorder="1" applyAlignment="1">
      <alignment/>
    </xf>
    <xf numFmtId="183" fontId="0" fillId="0" borderId="2" xfId="0" applyNumberFormat="1" applyBorder="1" applyAlignment="1">
      <alignment/>
    </xf>
    <xf numFmtId="2" fontId="0" fillId="0" borderId="0" xfId="0" applyNumberFormat="1" applyAlignment="1">
      <alignment horizontal="center"/>
    </xf>
    <xf numFmtId="0" fontId="0" fillId="0" borderId="0" xfId="0" applyAlignment="1">
      <alignment horizontal="right"/>
    </xf>
    <xf numFmtId="0" fontId="1" fillId="2" borderId="0" xfId="0" applyFont="1" applyFill="1" applyAlignment="1">
      <alignment/>
    </xf>
    <xf numFmtId="0" fontId="0" fillId="0" borderId="6" xfId="0" applyBorder="1" applyAlignment="1" applyProtection="1">
      <alignment horizontal="center"/>
      <protection/>
    </xf>
    <xf numFmtId="0" fontId="0" fillId="0" borderId="7" xfId="0" applyBorder="1" applyAlignment="1" applyProtection="1">
      <alignment horizontal="center"/>
      <protection/>
    </xf>
    <xf numFmtId="0" fontId="0" fillId="0" borderId="8" xfId="0" applyBorder="1" applyAlignment="1" applyProtection="1">
      <alignment horizontal="center"/>
      <protection/>
    </xf>
    <xf numFmtId="0" fontId="0" fillId="0" borderId="0" xfId="0" applyAlignment="1">
      <alignment wrapText="1"/>
    </xf>
    <xf numFmtId="0" fontId="1" fillId="0" borderId="0" xfId="0" applyFont="1" applyAlignment="1">
      <alignment horizontal="right" vertical="top"/>
    </xf>
    <xf numFmtId="0" fontId="15" fillId="0" borderId="0" xfId="0" applyFont="1" applyAlignment="1">
      <alignment/>
    </xf>
    <xf numFmtId="0" fontId="2" fillId="2" borderId="9" xfId="0" applyFont="1" applyFill="1" applyBorder="1" applyAlignment="1" applyProtection="1">
      <alignment horizontal="center"/>
      <protection locked="0"/>
    </xf>
    <xf numFmtId="49" fontId="0" fillId="0" borderId="0" xfId="0" applyNumberFormat="1" applyFill="1" applyBorder="1" applyAlignment="1">
      <alignment horizontal="center"/>
    </xf>
    <xf numFmtId="2" fontId="0" fillId="0" borderId="0" xfId="0" applyNumberFormat="1" applyFill="1" applyBorder="1" applyAlignment="1">
      <alignment horizontal="center"/>
    </xf>
    <xf numFmtId="0" fontId="0" fillId="0" borderId="0" xfId="0" applyNumberFormat="1" applyFill="1" applyBorder="1" applyAlignment="1">
      <alignment horizontal="center"/>
    </xf>
    <xf numFmtId="9" fontId="0" fillId="0" borderId="0" xfId="0" applyNumberFormat="1" applyFill="1" applyBorder="1" applyAlignment="1">
      <alignment horizontal="center"/>
    </xf>
    <xf numFmtId="2"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2" fontId="14" fillId="0" borderId="0" xfId="0" applyNumberFormat="1" applyFont="1" applyFill="1" applyBorder="1" applyAlignment="1">
      <alignment horizontal="center"/>
    </xf>
    <xf numFmtId="0" fontId="14" fillId="0" borderId="0" xfId="0" applyNumberFormat="1" applyFont="1" applyFill="1" applyBorder="1" applyAlignment="1">
      <alignment horizontal="center"/>
    </xf>
    <xf numFmtId="16" fontId="1" fillId="0" borderId="2" xfId="0" applyNumberFormat="1" applyFont="1" applyBorder="1" applyAlignment="1">
      <alignment horizontal="center"/>
    </xf>
    <xf numFmtId="0" fontId="17" fillId="0" borderId="0" xfId="0" applyFont="1" applyAlignment="1">
      <alignment/>
    </xf>
    <xf numFmtId="0" fontId="20" fillId="0" borderId="0" xfId="0" applyFont="1" applyAlignment="1">
      <alignment horizontal="right"/>
    </xf>
    <xf numFmtId="0" fontId="18" fillId="0" borderId="0" xfId="0" applyFont="1" applyAlignment="1">
      <alignment vertical="top" wrapText="1"/>
    </xf>
    <xf numFmtId="0" fontId="19" fillId="0" borderId="0" xfId="0" applyFont="1" applyAlignment="1">
      <alignment horizontal="right" vertical="top"/>
    </xf>
    <xf numFmtId="0" fontId="0" fillId="0" borderId="0" xfId="0" applyFont="1" applyAlignment="1">
      <alignment horizontal="right"/>
    </xf>
    <xf numFmtId="0" fontId="13" fillId="0" borderId="0" xfId="0" applyFont="1" applyAlignment="1">
      <alignment/>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2" fillId="2" borderId="11" xfId="0" applyFont="1" applyFill="1" applyBorder="1" applyAlignment="1" applyProtection="1">
      <alignment horizontal="center"/>
      <protection locked="0"/>
    </xf>
    <xf numFmtId="0" fontId="0" fillId="0" borderId="12" xfId="0" applyBorder="1" applyAlignment="1" applyProtection="1">
      <alignment horizontal="center"/>
      <protection/>
    </xf>
    <xf numFmtId="0" fontId="1" fillId="0" borderId="0" xfId="0" applyFont="1" applyBorder="1" applyAlignment="1">
      <alignment horizontal="left"/>
    </xf>
    <xf numFmtId="0" fontId="1" fillId="0" borderId="0" xfId="0" applyFont="1" applyAlignment="1" quotePrefix="1">
      <alignment/>
    </xf>
    <xf numFmtId="0" fontId="1" fillId="0" borderId="0" xfId="0" applyFont="1" applyAlignment="1">
      <alignment horizontal="left" vertical="top" wrapText="1"/>
    </xf>
    <xf numFmtId="49" fontId="0" fillId="0" borderId="0" xfId="0" applyNumberFormat="1" applyBorder="1" applyAlignment="1">
      <alignment horizontal="left"/>
    </xf>
    <xf numFmtId="0" fontId="6" fillId="0" borderId="0" xfId="18" applyAlignment="1">
      <alignment/>
    </xf>
    <xf numFmtId="0" fontId="2" fillId="2" borderId="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39" fillId="0" borderId="0" xfId="0" applyFont="1" applyBorder="1" applyAlignment="1">
      <alignment horizontal="center"/>
    </xf>
    <xf numFmtId="0" fontId="1" fillId="0" borderId="6" xfId="0" applyFont="1" applyBorder="1" applyAlignment="1" applyProtection="1">
      <alignment horizontal="center"/>
      <protection/>
    </xf>
    <xf numFmtId="0" fontId="1" fillId="0" borderId="0" xfId="0" applyFont="1" applyBorder="1" applyAlignment="1">
      <alignment horizontal="center" vertical="top" wrapText="1"/>
    </xf>
    <xf numFmtId="0" fontId="1" fillId="0" borderId="0" xfId="0" applyFont="1" applyBorder="1" applyAlignment="1" applyProtection="1">
      <alignment horizontal="center"/>
      <protection/>
    </xf>
    <xf numFmtId="0" fontId="2" fillId="3" borderId="0"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3" xfId="0" applyFont="1" applyFill="1" applyBorder="1" applyAlignment="1" applyProtection="1">
      <alignment horizontal="center"/>
      <protection locked="0"/>
    </xf>
    <xf numFmtId="0" fontId="0" fillId="0" borderId="7" xfId="0" applyFill="1" applyBorder="1" applyAlignment="1" applyProtection="1">
      <alignment horizontal="center"/>
      <protection/>
    </xf>
    <xf numFmtId="2" fontId="0" fillId="0" borderId="12" xfId="0" applyNumberFormat="1" applyBorder="1" applyAlignment="1">
      <alignment horizontal="center"/>
    </xf>
    <xf numFmtId="0" fontId="0" fillId="0" borderId="3" xfId="0" applyBorder="1" applyAlignment="1">
      <alignment/>
    </xf>
    <xf numFmtId="0" fontId="0" fillId="0" borderId="4" xfId="0" applyBorder="1" applyAlignment="1">
      <alignment/>
    </xf>
    <xf numFmtId="183" fontId="1" fillId="0" borderId="10" xfId="0" applyNumberFormat="1" applyFont="1" applyBorder="1" applyAlignment="1">
      <alignment horizontal="center"/>
    </xf>
    <xf numFmtId="183" fontId="0" fillId="0" borderId="12" xfId="0" applyNumberFormat="1" applyFont="1" applyBorder="1" applyAlignment="1">
      <alignment horizontal="center"/>
    </xf>
    <xf numFmtId="0" fontId="0" fillId="0" borderId="12" xfId="0" applyBorder="1" applyAlignment="1">
      <alignment/>
    </xf>
    <xf numFmtId="0" fontId="0" fillId="0" borderId="14" xfId="0" applyBorder="1" applyAlignment="1">
      <alignment/>
    </xf>
    <xf numFmtId="183" fontId="0" fillId="0" borderId="14" xfId="0" applyNumberFormat="1" applyFont="1" applyBorder="1" applyAlignment="1">
      <alignment horizontal="center"/>
    </xf>
    <xf numFmtId="0" fontId="22" fillId="0" borderId="0" xfId="0" applyFont="1" applyAlignment="1">
      <alignment/>
    </xf>
    <xf numFmtId="0" fontId="1" fillId="4" borderId="6" xfId="0" applyFont="1" applyFill="1" applyBorder="1" applyAlignment="1" applyProtection="1">
      <alignment horizontal="center"/>
      <protection/>
    </xf>
    <xf numFmtId="0" fontId="0" fillId="5" borderId="8" xfId="0" applyFill="1" applyBorder="1" applyAlignment="1" applyProtection="1">
      <alignment horizontal="center"/>
      <protection/>
    </xf>
    <xf numFmtId="0" fontId="20" fillId="6" borderId="0" xfId="0" applyFont="1" applyFill="1" applyBorder="1" applyAlignment="1" applyProtection="1">
      <alignment horizontal="center"/>
      <protection locked="0"/>
    </xf>
    <xf numFmtId="0" fontId="20" fillId="6" borderId="0" xfId="0" applyFont="1" applyFill="1" applyBorder="1" applyAlignment="1">
      <alignment horizontal="center"/>
    </xf>
    <xf numFmtId="0" fontId="0" fillId="5" borderId="15" xfId="0" applyFill="1" applyBorder="1" applyAlignment="1" applyProtection="1">
      <alignment horizontal="center"/>
      <protection/>
    </xf>
    <xf numFmtId="0" fontId="0" fillId="4" borderId="15" xfId="0" applyFill="1" applyBorder="1" applyAlignment="1" applyProtection="1">
      <alignment horizontal="center"/>
      <protection/>
    </xf>
    <xf numFmtId="0" fontId="0" fillId="7" borderId="15" xfId="0" applyFill="1" applyBorder="1" applyAlignment="1" applyProtection="1">
      <alignment horizontal="center"/>
      <protection/>
    </xf>
    <xf numFmtId="0" fontId="0" fillId="7" borderId="8" xfId="0" applyFill="1" applyBorder="1" applyAlignment="1" applyProtection="1">
      <alignment horizontal="center"/>
      <protection/>
    </xf>
    <xf numFmtId="0" fontId="1" fillId="7" borderId="6" xfId="0" applyFont="1" applyFill="1" applyBorder="1" applyAlignment="1" applyProtection="1">
      <alignment horizontal="center"/>
      <protection/>
    </xf>
    <xf numFmtId="0" fontId="0" fillId="4" borderId="8" xfId="0" applyFill="1" applyBorder="1" applyAlignment="1" applyProtection="1">
      <alignment horizontal="center"/>
      <protection/>
    </xf>
    <xf numFmtId="0" fontId="1" fillId="5" borderId="6" xfId="0" applyFont="1" applyFill="1" applyBorder="1" applyAlignment="1" applyProtection="1">
      <alignment horizontal="center"/>
      <protection/>
    </xf>
    <xf numFmtId="0" fontId="1" fillId="8" borderId="6" xfId="0" applyFont="1" applyFill="1" applyBorder="1" applyAlignment="1" applyProtection="1">
      <alignment horizontal="center"/>
      <protection/>
    </xf>
    <xf numFmtId="0" fontId="48" fillId="8" borderId="15" xfId="0" applyFont="1" applyFill="1" applyBorder="1" applyAlignment="1" applyProtection="1">
      <alignment horizontal="center"/>
      <protection/>
    </xf>
    <xf numFmtId="0" fontId="48" fillId="8" borderId="8" xfId="0" applyFont="1" applyFill="1" applyBorder="1" applyAlignment="1" applyProtection="1">
      <alignment horizontal="center"/>
      <protection/>
    </xf>
    <xf numFmtId="0" fontId="48" fillId="9" borderId="15" xfId="0" applyFont="1" applyFill="1" applyBorder="1" applyAlignment="1" applyProtection="1">
      <alignment horizontal="center"/>
      <protection/>
    </xf>
    <xf numFmtId="0" fontId="48" fillId="9" borderId="8" xfId="0" applyFont="1" applyFill="1" applyBorder="1" applyAlignment="1" applyProtection="1">
      <alignment horizontal="center"/>
      <protection/>
    </xf>
    <xf numFmtId="0" fontId="49" fillId="9" borderId="6" xfId="0" applyFont="1" applyFill="1" applyBorder="1" applyAlignment="1" applyProtection="1">
      <alignment horizontal="center"/>
      <protection/>
    </xf>
    <xf numFmtId="0" fontId="2" fillId="2" borderId="16"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3" xfId="0" applyFont="1" applyBorder="1" applyAlignment="1">
      <alignment horizontal="center" vertical="top" wrapText="1"/>
    </xf>
    <xf numFmtId="0" fontId="0" fillId="0" borderId="0" xfId="0" applyBorder="1" applyAlignment="1">
      <alignment horizontal="center"/>
    </xf>
    <xf numFmtId="0" fontId="1" fillId="0" borderId="10"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1" fillId="0" borderId="4"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3" xfId="0" applyFont="1" applyBorder="1" applyAlignment="1" applyProtection="1">
      <alignment horizontal="center" vertical="center" wrapText="1"/>
      <protection/>
    </xf>
    <xf numFmtId="0" fontId="1" fillId="0" borderId="0" xfId="0" applyFont="1" applyAlignment="1">
      <alignment horizontal="center"/>
    </xf>
    <xf numFmtId="0" fontId="8" fillId="2" borderId="15" xfId="0" applyFont="1" applyFill="1" applyBorder="1" applyAlignment="1">
      <alignment horizontal="center"/>
    </xf>
    <xf numFmtId="0" fontId="8" fillId="2" borderId="11" xfId="0" applyFont="1" applyFill="1" applyBorder="1" applyAlignment="1">
      <alignment horizontal="center"/>
    </xf>
    <xf numFmtId="0" fontId="8" fillId="2" borderId="8"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center"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ill>
        <patternFill>
          <bgColor rgb="FFFF0000"/>
        </patternFill>
      </fill>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Needle Profile for Keihin PWK &amp; PJ Carburetor</a:t>
            </a:r>
          </a:p>
        </c:rich>
      </c:tx>
      <c:layout>
        <c:manualLayout>
          <c:xMode val="factor"/>
          <c:yMode val="factor"/>
          <c:x val="0.17875"/>
          <c:y val="-0.01975"/>
        </c:manualLayout>
      </c:layout>
      <c:spPr>
        <a:noFill/>
        <a:ln>
          <a:noFill/>
        </a:ln>
      </c:spPr>
    </c:title>
    <c:plotArea>
      <c:layout>
        <c:manualLayout>
          <c:xMode val="edge"/>
          <c:yMode val="edge"/>
          <c:x val="0.06375"/>
          <c:y val="0.10325"/>
          <c:w val="0.931"/>
          <c:h val="0.89675"/>
        </c:manualLayout>
      </c:layout>
      <c:scatterChart>
        <c:scatterStyle val="smoothMarker"/>
        <c:varyColors val="0"/>
        <c:ser>
          <c:idx val="0"/>
          <c:order val="0"/>
          <c:tx>
            <c:strRef>
              <c:f>'PWK Chart'!$J$6</c:f>
              <c:strCache>
                <c:ptCount val="1"/>
                <c:pt idx="0">
                  <c:v>BGN#3</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Data'!$C$19:$C$39</c:f>
              <c:numCache>
                <c:ptCount val="21"/>
                <c:pt idx="0">
                  <c:v>2.7249999999999974</c:v>
                </c:pt>
                <c:pt idx="1">
                  <c:v>2.7249999999999974</c:v>
                </c:pt>
                <c:pt idx="2">
                  <c:v>2.7249999999999974</c:v>
                </c:pt>
                <c:pt idx="3">
                  <c:v>2.7249999999999974</c:v>
                </c:pt>
                <c:pt idx="4">
                  <c:v>2.7249999999999974</c:v>
                </c:pt>
                <c:pt idx="5">
                  <c:v>2.703743671431593</c:v>
                </c:pt>
                <c:pt idx="6">
                  <c:v>2.662285523949509</c:v>
                </c:pt>
                <c:pt idx="7">
                  <c:v>2.620827376467425</c:v>
                </c:pt>
                <c:pt idx="8">
                  <c:v>2.579369228985341</c:v>
                </c:pt>
                <c:pt idx="9">
                  <c:v>2.5379110815032573</c:v>
                </c:pt>
                <c:pt idx="10">
                  <c:v>2.496452934021173</c:v>
                </c:pt>
                <c:pt idx="11">
                  <c:v>2.454994786539089</c:v>
                </c:pt>
                <c:pt idx="12">
                  <c:v>2.413536639057005</c:v>
                </c:pt>
                <c:pt idx="13">
                  <c:v>2.3720784915749213</c:v>
                </c:pt>
                <c:pt idx="14">
                  <c:v>2.330620344092837</c:v>
                </c:pt>
                <c:pt idx="15">
                  <c:v>2.289162196610753</c:v>
                </c:pt>
                <c:pt idx="16">
                  <c:v>2.247704049128669</c:v>
                </c:pt>
                <c:pt idx="17">
                  <c:v>2.206245901646585</c:v>
                </c:pt>
                <c:pt idx="18">
                  <c:v>2.1647877541645006</c:v>
                </c:pt>
                <c:pt idx="19">
                  <c:v>2.123329606682417</c:v>
                </c:pt>
                <c:pt idx="20">
                  <c:v>2.081871459200333</c:v>
                </c:pt>
              </c:numCache>
            </c:numRef>
          </c:yVal>
          <c:smooth val="1"/>
        </c:ser>
        <c:ser>
          <c:idx val="2"/>
          <c:order val="1"/>
          <c:tx>
            <c:strRef>
              <c:f>'PWK Chart'!$J$7</c:f>
              <c:strCache>
                <c:ptCount val="1"/>
                <c:pt idx="0">
                  <c:v>BGN#3</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Data'!$I$19:$I$39</c:f>
              <c:numCache>
                <c:ptCount val="21"/>
                <c:pt idx="0">
                  <c:v>2.7249999999999974</c:v>
                </c:pt>
                <c:pt idx="1">
                  <c:v>2.7249999999999974</c:v>
                </c:pt>
                <c:pt idx="2">
                  <c:v>2.7249999999999974</c:v>
                </c:pt>
                <c:pt idx="3">
                  <c:v>2.7249999999999974</c:v>
                </c:pt>
                <c:pt idx="4">
                  <c:v>2.7249999999999974</c:v>
                </c:pt>
                <c:pt idx="5">
                  <c:v>2.703743671431593</c:v>
                </c:pt>
                <c:pt idx="6">
                  <c:v>2.662285523949509</c:v>
                </c:pt>
                <c:pt idx="7">
                  <c:v>2.620827376467425</c:v>
                </c:pt>
                <c:pt idx="8">
                  <c:v>2.579369228985341</c:v>
                </c:pt>
                <c:pt idx="9">
                  <c:v>2.5379110815032573</c:v>
                </c:pt>
                <c:pt idx="10">
                  <c:v>2.496452934021173</c:v>
                </c:pt>
                <c:pt idx="11">
                  <c:v>2.454994786539089</c:v>
                </c:pt>
                <c:pt idx="12">
                  <c:v>2.413536639057005</c:v>
                </c:pt>
                <c:pt idx="13">
                  <c:v>2.3720784915749213</c:v>
                </c:pt>
                <c:pt idx="14">
                  <c:v>2.330620344092837</c:v>
                </c:pt>
                <c:pt idx="15">
                  <c:v>2.289162196610753</c:v>
                </c:pt>
                <c:pt idx="16">
                  <c:v>2.247704049128669</c:v>
                </c:pt>
                <c:pt idx="17">
                  <c:v>2.206245901646585</c:v>
                </c:pt>
                <c:pt idx="18">
                  <c:v>2.1647877541645006</c:v>
                </c:pt>
                <c:pt idx="19">
                  <c:v>2.123329606682417</c:v>
                </c:pt>
                <c:pt idx="20">
                  <c:v>2.081871459200333</c:v>
                </c:pt>
              </c:numCache>
            </c:numRef>
          </c:yVal>
          <c:smooth val="1"/>
        </c:ser>
        <c:ser>
          <c:idx val="3"/>
          <c:order val="2"/>
          <c:tx>
            <c:strRef>
              <c:f>'PWK Chart'!$J$8</c:f>
              <c:strCache>
                <c:ptCount val="1"/>
                <c:pt idx="0">
                  <c:v>#3</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Data'!$O$19:$O$39</c:f>
              <c:numCach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1"/>
        </c:ser>
        <c:ser>
          <c:idx val="1"/>
          <c:order val="3"/>
          <c:tx>
            <c:strRef>
              <c:f>'PWK Chart'!$J$9</c:f>
              <c:strCache>
                <c:ptCount val="1"/>
                <c:pt idx="0">
                  <c:v>#3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Data'!$U$19:$U$39</c:f>
              <c:numCach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1"/>
        </c:ser>
        <c:ser>
          <c:idx val="4"/>
          <c:order val="4"/>
          <c:tx>
            <c:strRef>
              <c:f>'PWK Chart'!$J$10</c:f>
              <c:strCache>
                <c:ptCount val="1"/>
                <c:pt idx="0">
                  <c:v>#3</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Data'!$AA$19:$AA$39</c:f>
              <c:numCach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1"/>
        </c:ser>
        <c:axId val="7183413"/>
        <c:axId val="64650718"/>
      </c:scatterChart>
      <c:valAx>
        <c:axId val="7183413"/>
        <c:scaling>
          <c:orientation val="minMax"/>
          <c:max val="1"/>
        </c:scaling>
        <c:axPos val="t"/>
        <c:title>
          <c:tx>
            <c:rich>
              <a:bodyPr vert="horz" rot="0" anchor="ctr"/>
              <a:lstStyle/>
              <a:p>
                <a:pPr algn="ctr">
                  <a:defRPr/>
                </a:pPr>
                <a:r>
                  <a:rPr lang="en-US" cap="none" sz="1500" b="1" i="0" u="none" baseline="0">
                    <a:latin typeface="Arial"/>
                    <a:ea typeface="Arial"/>
                    <a:cs typeface="Arial"/>
                  </a:rPr>
                  <a:t>&lt;&lt; Idle    Throttle Position    WOT &gt;&gt;  </a:t>
                </a:r>
              </a:p>
            </c:rich>
          </c:tx>
          <c:layout>
            <c:manualLayout>
              <c:xMode val="factor"/>
              <c:yMode val="factor"/>
              <c:x val="0.245"/>
              <c:y val="-0.01375"/>
            </c:manualLayout>
          </c:layout>
          <c:overlay val="0"/>
          <c:spPr>
            <a:noFill/>
            <a:ln>
              <a:noFill/>
            </a:ln>
          </c:spPr>
        </c:title>
        <c:majorGridlines/>
        <c:delete val="0"/>
        <c:numFmt formatCode="# ??/??" sourceLinked="0"/>
        <c:majorTickMark val="out"/>
        <c:minorTickMark val="out"/>
        <c:tickLblPos val="high"/>
        <c:txPr>
          <a:bodyPr/>
          <a:lstStyle/>
          <a:p>
            <a:pPr>
              <a:defRPr lang="en-US" cap="none" sz="1650" b="0" i="0" u="none" baseline="0">
                <a:latin typeface="Arial"/>
                <a:ea typeface="Arial"/>
                <a:cs typeface="Arial"/>
              </a:defRPr>
            </a:pPr>
          </a:p>
        </c:txPr>
        <c:crossAx val="64650718"/>
        <c:crossesAt val="1"/>
        <c:crossBetween val="midCat"/>
        <c:dispUnits/>
        <c:majorUnit val="0.125"/>
        <c:minorUnit val="0.0625"/>
      </c:valAx>
      <c:valAx>
        <c:axId val="64650718"/>
        <c:scaling>
          <c:orientation val="maxMin"/>
          <c:max val="2.9"/>
          <c:min val="1.9"/>
        </c:scaling>
        <c:axPos val="l"/>
        <c:title>
          <c:tx>
            <c:rich>
              <a:bodyPr vert="horz" rot="-5400000" anchor="ctr"/>
              <a:lstStyle/>
              <a:p>
                <a:pPr algn="ctr">
                  <a:defRPr/>
                </a:pPr>
                <a:r>
                  <a:rPr lang="en-US" cap="none" sz="825" b="0" i="0" u="none" baseline="0">
                    <a:latin typeface="Arial"/>
                    <a:ea typeface="Arial"/>
                    <a:cs typeface="Arial"/>
                  </a:rPr>
                  <a:t>&lt;&lt; Less Fuel</a:t>
                </a:r>
                <a:r>
                  <a:rPr lang="en-US" cap="none" sz="800" b="1" i="0" u="none" baseline="0">
                    <a:latin typeface="Arial"/>
                    <a:ea typeface="Arial"/>
                    <a:cs typeface="Arial"/>
                  </a:rPr>
                  <a:t>  </a:t>
                </a:r>
                <a:r>
                  <a:rPr lang="en-US" cap="none" sz="900" b="1" i="0" u="none" baseline="0">
                    <a:latin typeface="Arial"/>
                    <a:ea typeface="Arial"/>
                    <a:cs typeface="Arial"/>
                  </a:rPr>
                  <a:t>Needle Diameter (mm)</a:t>
                </a:r>
                <a:r>
                  <a:rPr lang="en-US" cap="none" sz="925" b="1" i="0" u="none" baseline="0">
                    <a:latin typeface="Arial"/>
                    <a:ea typeface="Arial"/>
                    <a:cs typeface="Arial"/>
                  </a:rPr>
                  <a:t> </a:t>
                </a:r>
                <a:r>
                  <a:rPr lang="en-US" cap="none" sz="925" b="0" i="0" u="none" baseline="0">
                    <a:latin typeface="Arial"/>
                    <a:ea typeface="Arial"/>
                    <a:cs typeface="Arial"/>
                  </a:rPr>
                  <a:t> </a:t>
                </a:r>
                <a:r>
                  <a:rPr lang="en-US" cap="none" sz="825" b="0" i="0" u="none" baseline="0">
                    <a:latin typeface="Arial"/>
                    <a:ea typeface="Arial"/>
                    <a:cs typeface="Arial"/>
                  </a:rPr>
                  <a:t>More Fuel &gt;&gt;</a:t>
                </a:r>
                <a:r>
                  <a:rPr lang="en-US" cap="none" sz="1450" b="1" i="0" u="none" baseline="0">
                    <a:latin typeface="Arial"/>
                    <a:ea typeface="Arial"/>
                    <a:cs typeface="Arial"/>
                  </a:rPr>
                  <a:t>
</a:t>
                </a:r>
              </a:p>
            </c:rich>
          </c:tx>
          <c:layout/>
          <c:overlay val="0"/>
          <c:spPr>
            <a:noFill/>
            <a:ln>
              <a:noFill/>
            </a:ln>
          </c:spPr>
        </c:title>
        <c:majorGridlines/>
        <c:delete val="0"/>
        <c:numFmt formatCode="0.00" sourceLinked="0"/>
        <c:majorTickMark val="out"/>
        <c:minorTickMark val="out"/>
        <c:tickLblPos val="nextTo"/>
        <c:txPr>
          <a:bodyPr/>
          <a:lstStyle/>
          <a:p>
            <a:pPr>
              <a:defRPr lang="en-US" cap="none" sz="1500" b="0" i="0" u="none" baseline="0">
                <a:latin typeface="Arial"/>
                <a:ea typeface="Arial"/>
                <a:cs typeface="Arial"/>
              </a:defRPr>
            </a:pPr>
          </a:p>
        </c:txPr>
        <c:crossAx val="7183413"/>
        <c:crosses val="autoZero"/>
        <c:crossBetween val="midCat"/>
        <c:dispUnits/>
        <c:majorUnit val="0.1"/>
        <c:minorUnit val="0.05"/>
      </c:valAx>
      <c:spPr>
        <a:noFill/>
        <a:ln w="12700">
          <a:solidFill/>
        </a:ln>
      </c:spPr>
    </c:plotArea>
    <c:legend>
      <c:legendPos val="r"/>
      <c:layout>
        <c:manualLayout>
          <c:xMode val="edge"/>
          <c:yMode val="edge"/>
          <c:x val="0.749"/>
          <c:y val="0.36425"/>
          <c:w val="0.1845"/>
          <c:h val="0.442"/>
        </c:manualLayout>
      </c:layout>
      <c:overlay val="0"/>
      <c:spPr>
        <a:ln w="25400">
          <a:solidFill/>
        </a:ln>
      </c:spPr>
      <c:txPr>
        <a:bodyPr vert="horz" rot="0"/>
        <a:lstStyle/>
        <a:p>
          <a:pPr>
            <a:defRPr lang="en-US" cap="none" sz="1100" b="1"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Relative Change in Fuel Mixture Relative to Setup #1</a:t>
            </a:r>
          </a:p>
        </c:rich>
      </c:tx>
      <c:layout>
        <c:manualLayout>
          <c:xMode val="factor"/>
          <c:yMode val="factor"/>
          <c:x val="0.02225"/>
          <c:y val="-0.00525"/>
        </c:manualLayout>
      </c:layout>
      <c:spPr>
        <a:noFill/>
        <a:ln>
          <a:noFill/>
        </a:ln>
      </c:spPr>
    </c:title>
    <c:plotArea>
      <c:layout>
        <c:manualLayout>
          <c:xMode val="edge"/>
          <c:yMode val="edge"/>
          <c:x val="0.07025"/>
          <c:y val="0.09875"/>
          <c:w val="0.9125"/>
          <c:h val="0.9035"/>
        </c:manualLayout>
      </c:layout>
      <c:scatterChart>
        <c:scatterStyle val="smoothMarker"/>
        <c:varyColors val="0"/>
        <c:ser>
          <c:idx val="0"/>
          <c:order val="0"/>
          <c:tx>
            <c:strRef>
              <c:f>'PWK Chart'!$K$6</c:f>
              <c:strCache>
                <c:ptCount val="1"/>
                <c:pt idx="0">
                  <c:v>40P,BGN#3,152M,100FT,70F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Data'!$D$19:$D$39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ser>
          <c:idx val="2"/>
          <c:order val="1"/>
          <c:tx>
            <c:strRef>
              <c:f>'PWK Chart'!$K$7</c:f>
              <c:strCache>
                <c:ptCount val="1"/>
                <c:pt idx="0">
                  <c:v>40P,BGN#3,155M,100FT,70F</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Data'!$K$19:$K$39</c:f>
              <c:numCache>
                <c:ptCount val="21"/>
                <c:pt idx="0">
                  <c:v>0.01951098812803309</c:v>
                </c:pt>
                <c:pt idx="1">
                  <c:v>0.06341071141610755</c:v>
                </c:pt>
                <c:pt idx="2">
                  <c:v>0.10104102746594679</c:v>
                </c:pt>
                <c:pt idx="3">
                  <c:v>0.1457656553580433</c:v>
                </c:pt>
                <c:pt idx="4">
                  <c:v>0.22248526180985717</c:v>
                </c:pt>
                <c:pt idx="5">
                  <c:v>0.3619274949454576</c:v>
                </c:pt>
                <c:pt idx="6">
                  <c:v>0.5643267314706879</c:v>
                </c:pt>
                <c:pt idx="7">
                  <c:v>0.8061715675890202</c:v>
                </c:pt>
                <c:pt idx="8">
                  <c:v>1.0765213171952448</c:v>
                </c:pt>
                <c:pt idx="9">
                  <c:v>1.362797478879929</c:v>
                </c:pt>
                <c:pt idx="10">
                  <c:v>1.6528644818790905</c:v>
                </c:pt>
                <c:pt idx="11">
                  <c:v>1.936514424721092</c:v>
                </c:pt>
                <c:pt idx="12">
                  <c:v>2.2061800225344763</c:v>
                </c:pt>
                <c:pt idx="13">
                  <c:v>2.456986594205701</c:v>
                </c:pt>
                <c:pt idx="14">
                  <c:v>2.686387300113502</c:v>
                </c:pt>
                <c:pt idx="15">
                  <c:v>2.8936222204840156</c:v>
                </c:pt>
                <c:pt idx="16">
                  <c:v>3.079170300219669</c:v>
                </c:pt>
                <c:pt idx="17">
                  <c:v>3.244283153201155</c:v>
                </c:pt>
                <c:pt idx="18">
                  <c:v>3.390630134877526</c:v>
                </c:pt>
                <c:pt idx="19">
                  <c:v>3.5200499560356313</c:v>
                </c:pt>
                <c:pt idx="20">
                  <c:v>3.634389494307033</c:v>
                </c:pt>
              </c:numCache>
            </c:numRef>
          </c:yVal>
          <c:smooth val="1"/>
        </c:ser>
        <c:ser>
          <c:idx val="3"/>
          <c:order val="2"/>
          <c:tx>
            <c:strRef>
              <c:f>'PWK Chart'!$K$8</c:f>
              <c:strCache>
                <c:ptCount val="1"/>
                <c:pt idx="0">
                  <c:v>40P,#3,152M,100FT,70F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Data'!$Q$19:$Q$39</c:f>
              <c:numCach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1"/>
        </c:ser>
        <c:ser>
          <c:idx val="1"/>
          <c:order val="3"/>
          <c:tx>
            <c:strRef>
              <c:f>'PWK Chart'!$K$9</c:f>
              <c:strCache>
                <c:ptCount val="1"/>
                <c:pt idx="0">
                  <c:v>40P,#3,152M,100FT,70F</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Data'!$W$19:$W$39</c:f>
              <c:numCach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1"/>
        </c:ser>
        <c:ser>
          <c:idx val="4"/>
          <c:order val="4"/>
          <c:tx>
            <c:strRef>
              <c:f>'PWK Chart'!$K$10</c:f>
              <c:strCache>
                <c:ptCount val="1"/>
                <c:pt idx="0">
                  <c:v>40P,#3,152M,100FT,70F</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'PWK Calc Data'!$A$19:$A$39</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'PWK Calc Data'!$AC$19:$AC$39</c:f>
              <c:numCach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1"/>
        </c:ser>
        <c:axId val="44985551"/>
        <c:axId val="2216776"/>
      </c:scatterChart>
      <c:valAx>
        <c:axId val="44985551"/>
        <c:scaling>
          <c:orientation val="minMax"/>
          <c:max val="1"/>
        </c:scaling>
        <c:axPos val="b"/>
        <c:title>
          <c:tx>
            <c:rich>
              <a:bodyPr vert="horz" rot="0" anchor="ctr"/>
              <a:lstStyle/>
              <a:p>
                <a:pPr algn="ctr">
                  <a:defRPr/>
                </a:pPr>
                <a:r>
                  <a:rPr lang="en-US" cap="none" sz="1400" b="1" i="0" u="none" baseline="0">
                    <a:latin typeface="Arial"/>
                    <a:ea typeface="Arial"/>
                    <a:cs typeface="Arial"/>
                  </a:rPr>
                  <a:t>&lt;&lt; Idle    Throttle Position   </a:t>
                </a:r>
                <a:r>
                  <a:rPr lang="en-US" cap="none" sz="1400" b="0" i="0" u="none" baseline="0">
                    <a:latin typeface="Arial"/>
                    <a:ea typeface="Arial"/>
                    <a:cs typeface="Arial"/>
                  </a:rPr>
                  <a:t> </a:t>
                </a:r>
                <a:r>
                  <a:rPr lang="en-US" cap="none" sz="1400" b="1" i="0" u="none" baseline="0">
                    <a:latin typeface="Arial"/>
                    <a:ea typeface="Arial"/>
                    <a:cs typeface="Arial"/>
                  </a:rPr>
                  <a:t>WOT &gt;&gt;</a:t>
                </a:r>
                <a:r>
                  <a:rPr lang="en-US" cap="none" sz="1400" b="0" i="0" u="none" baseline="0">
                    <a:latin typeface="Arial"/>
                    <a:ea typeface="Arial"/>
                    <a:cs typeface="Arial"/>
                  </a:rPr>
                  <a:t>    </a:t>
                </a:r>
              </a:p>
            </c:rich>
          </c:tx>
          <c:layout>
            <c:manualLayout>
              <c:xMode val="factor"/>
              <c:yMode val="factor"/>
              <c:x val="0.0145"/>
              <c:y val="0.0055"/>
            </c:manualLayout>
          </c:layout>
          <c:overlay val="0"/>
          <c:spPr>
            <a:noFill/>
            <a:ln>
              <a:noFill/>
            </a:ln>
          </c:spPr>
        </c:title>
        <c:majorGridlines/>
        <c:delete val="0"/>
        <c:numFmt formatCode="# ??/??" sourceLinked="0"/>
        <c:majorTickMark val="none"/>
        <c:minorTickMark val="none"/>
        <c:tickLblPos val="nextTo"/>
        <c:crossAx val="2216776"/>
        <c:crossesAt val="-30"/>
        <c:crossBetween val="midCat"/>
        <c:dispUnits/>
        <c:majorUnit val="0.125"/>
        <c:minorUnit val="0.0625"/>
      </c:valAx>
      <c:valAx>
        <c:axId val="2216776"/>
        <c:scaling>
          <c:orientation val="minMax"/>
          <c:max val="30"/>
          <c:min val="-30"/>
        </c:scaling>
        <c:axPos val="l"/>
        <c:title>
          <c:tx>
            <c:rich>
              <a:bodyPr vert="horz" rot="-5400000" anchor="ctr"/>
              <a:lstStyle/>
              <a:p>
                <a:pPr algn="ctr">
                  <a:defRPr/>
                </a:pPr>
                <a:r>
                  <a:rPr lang="en-US" cap="none" sz="950" b="0" i="0" u="none" baseline="0">
                    <a:latin typeface="Arial"/>
                    <a:ea typeface="Arial"/>
                    <a:cs typeface="Arial"/>
                  </a:rPr>
                  <a:t>&lt;&lt; </a:t>
                </a:r>
                <a:r>
                  <a:rPr lang="en-US" cap="none" sz="925" b="0" i="0" u="none" baseline="0">
                    <a:latin typeface="Arial"/>
                    <a:ea typeface="Arial"/>
                    <a:cs typeface="Arial"/>
                  </a:rPr>
                  <a:t>Less Fuel</a:t>
                </a:r>
                <a:r>
                  <a:rPr lang="en-US" cap="none" sz="1050" b="1" i="0" u="none" baseline="0">
                    <a:latin typeface="Arial"/>
                    <a:ea typeface="Arial"/>
                    <a:cs typeface="Arial"/>
                  </a:rPr>
                  <a:t>   Fuel Mixture (%) </a:t>
                </a:r>
                <a:r>
                  <a:rPr lang="en-US" cap="none" sz="925" b="0" i="0" u="none" baseline="0">
                    <a:latin typeface="Arial"/>
                    <a:ea typeface="Arial"/>
                    <a:cs typeface="Arial"/>
                  </a:rPr>
                  <a:t>More Fuel &gt;&gt;</a:t>
                </a:r>
                <a:r>
                  <a:rPr lang="en-US" cap="none" sz="1675" b="1" i="0" u="none" baseline="0">
                    <a:latin typeface="Arial"/>
                    <a:ea typeface="Arial"/>
                    <a:cs typeface="Arial"/>
                  </a:rPr>
                  <a:t>
</a:t>
                </a:r>
              </a:p>
            </c:rich>
          </c:tx>
          <c:layout>
            <c:manualLayout>
              <c:xMode val="factor"/>
              <c:yMode val="factor"/>
              <c:x val="0.00575"/>
              <c:y val="-0.0095"/>
            </c:manualLayout>
          </c:layout>
          <c:overlay val="0"/>
          <c:spPr>
            <a:noFill/>
            <a:ln>
              <a:noFill/>
            </a:ln>
          </c:spPr>
        </c:title>
        <c:majorGridlines/>
        <c:delete val="0"/>
        <c:numFmt formatCode="0" sourceLinked="0"/>
        <c:majorTickMark val="out"/>
        <c:minorTickMark val="out"/>
        <c:tickLblPos val="nextTo"/>
        <c:txPr>
          <a:bodyPr/>
          <a:lstStyle/>
          <a:p>
            <a:pPr>
              <a:defRPr lang="en-US" cap="none" sz="1400" b="0" i="0" u="none" baseline="0">
                <a:latin typeface="Arial"/>
                <a:ea typeface="Arial"/>
                <a:cs typeface="Arial"/>
              </a:defRPr>
            </a:pPr>
          </a:p>
        </c:txPr>
        <c:crossAx val="44985551"/>
        <c:crossesAt val="0"/>
        <c:crossBetween val="midCat"/>
        <c:dispUnits/>
        <c:majorUnit val="10"/>
      </c:valAx>
      <c:spPr>
        <a:noFill/>
        <a:ln w="12700">
          <a:solidFill/>
        </a:ln>
      </c:spPr>
    </c:plotArea>
    <c:legend>
      <c:legendPos val="r"/>
      <c:layout>
        <c:manualLayout>
          <c:xMode val="edge"/>
          <c:yMode val="edge"/>
          <c:x val="0.59325"/>
          <c:y val="0.08025"/>
          <c:w val="0.38275"/>
          <c:h val="0.28375"/>
        </c:manualLayout>
      </c:layout>
      <c:overlay val="0"/>
      <c:spPr>
        <a:ln w="25400">
          <a:solidFill/>
        </a:ln>
      </c:spPr>
      <c:txPr>
        <a:bodyPr vert="horz" rot="0"/>
        <a:lstStyle/>
        <a:p>
          <a:pPr>
            <a:defRPr lang="en-US" cap="none" sz="1100" b="1"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Needle Profile for Keihin FCR Carburetor</a:t>
            </a:r>
          </a:p>
        </c:rich>
      </c:tx>
      <c:layout>
        <c:manualLayout>
          <c:xMode val="factor"/>
          <c:yMode val="factor"/>
          <c:x val="0.03475"/>
          <c:y val="0"/>
        </c:manualLayout>
      </c:layout>
      <c:spPr>
        <a:noFill/>
        <a:ln>
          <a:noFill/>
        </a:ln>
      </c:spPr>
    </c:title>
    <c:plotArea>
      <c:layout>
        <c:manualLayout>
          <c:xMode val="edge"/>
          <c:yMode val="edge"/>
          <c:x val="0.08025"/>
          <c:y val="0.0965"/>
          <c:w val="0.90675"/>
          <c:h val="0.9035"/>
        </c:manualLayout>
      </c:layout>
      <c:scatterChart>
        <c:scatterStyle val="smoothMarker"/>
        <c:varyColors val="0"/>
        <c:ser>
          <c:idx val="0"/>
          <c:order val="0"/>
          <c:tx>
            <c:strRef>
              <c:f>'FCR Chart'!$J$6</c:f>
              <c:strCache>
                <c:ptCount val="1"/>
                <c:pt idx="0">
                  <c:v>DTM#2</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Data'!$C$17:$C$37</c:f>
              <c:numCache>
                <c:ptCount val="21"/>
                <c:pt idx="0">
                  <c:v>2.7149999999999976</c:v>
                </c:pt>
                <c:pt idx="1">
                  <c:v>2.7149999999999976</c:v>
                </c:pt>
                <c:pt idx="2">
                  <c:v>2.7149999999999976</c:v>
                </c:pt>
                <c:pt idx="3">
                  <c:v>2.7149999999999976</c:v>
                </c:pt>
                <c:pt idx="4">
                  <c:v>2.7149999999999976</c:v>
                </c:pt>
                <c:pt idx="5">
                  <c:v>2.7149999999999976</c:v>
                </c:pt>
                <c:pt idx="6">
                  <c:v>2.702851790167384</c:v>
                </c:pt>
                <c:pt idx="7">
                  <c:v>2.6773248918519554</c:v>
                </c:pt>
                <c:pt idx="8">
                  <c:v>2.651797993536527</c:v>
                </c:pt>
                <c:pt idx="9">
                  <c:v>2.6262710952210986</c:v>
                </c:pt>
                <c:pt idx="10">
                  <c:v>2.60074419690567</c:v>
                </c:pt>
                <c:pt idx="11">
                  <c:v>2.5752172985902417</c:v>
                </c:pt>
                <c:pt idx="12">
                  <c:v>2.5496904002748133</c:v>
                </c:pt>
                <c:pt idx="13">
                  <c:v>2.524163501959385</c:v>
                </c:pt>
                <c:pt idx="14">
                  <c:v>2.4986366036439565</c:v>
                </c:pt>
                <c:pt idx="15">
                  <c:v>2.473109705328528</c:v>
                </c:pt>
                <c:pt idx="16">
                  <c:v>2.4475828070130996</c:v>
                </c:pt>
                <c:pt idx="17">
                  <c:v>2.422055908697671</c:v>
                </c:pt>
                <c:pt idx="18">
                  <c:v>2.3965290103822428</c:v>
                </c:pt>
                <c:pt idx="19">
                  <c:v>2.3710021120668143</c:v>
                </c:pt>
                <c:pt idx="20">
                  <c:v>2.345475213751386</c:v>
                </c:pt>
              </c:numCache>
            </c:numRef>
          </c:yVal>
          <c:smooth val="1"/>
        </c:ser>
        <c:ser>
          <c:idx val="2"/>
          <c:order val="1"/>
          <c:tx>
            <c:strRef>
              <c:f>'FCR Chart'!$J$7</c:f>
              <c:strCache>
                <c:ptCount val="1"/>
                <c:pt idx="0">
                  <c:v>DTM#3</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Data'!$I$17:$I$37</c:f>
              <c:numCache>
                <c:ptCount val="21"/>
                <c:pt idx="0">
                  <c:v>2.7149999999999976</c:v>
                </c:pt>
                <c:pt idx="1">
                  <c:v>2.7149999999999976</c:v>
                </c:pt>
                <c:pt idx="2">
                  <c:v>2.7149999999999976</c:v>
                </c:pt>
                <c:pt idx="3">
                  <c:v>2.7149999999999976</c:v>
                </c:pt>
                <c:pt idx="4">
                  <c:v>2.7149999999999976</c:v>
                </c:pt>
                <c:pt idx="5">
                  <c:v>2.7149999999999976</c:v>
                </c:pt>
                <c:pt idx="6">
                  <c:v>2.6910701447910323</c:v>
                </c:pt>
                <c:pt idx="7">
                  <c:v>2.665543246475604</c:v>
                </c:pt>
                <c:pt idx="8">
                  <c:v>2.6400163481601755</c:v>
                </c:pt>
                <c:pt idx="9">
                  <c:v>2.614489449844747</c:v>
                </c:pt>
                <c:pt idx="10">
                  <c:v>2.5889625515293186</c:v>
                </c:pt>
                <c:pt idx="11">
                  <c:v>2.56343565321389</c:v>
                </c:pt>
                <c:pt idx="12">
                  <c:v>2.537908754898462</c:v>
                </c:pt>
                <c:pt idx="13">
                  <c:v>2.512381856583033</c:v>
                </c:pt>
                <c:pt idx="14">
                  <c:v>2.486854958267605</c:v>
                </c:pt>
                <c:pt idx="15">
                  <c:v>2.4613280599521765</c:v>
                </c:pt>
                <c:pt idx="16">
                  <c:v>2.435801161636748</c:v>
                </c:pt>
                <c:pt idx="17">
                  <c:v>2.4102742633213197</c:v>
                </c:pt>
                <c:pt idx="18">
                  <c:v>2.3847473650058912</c:v>
                </c:pt>
                <c:pt idx="19">
                  <c:v>2.359220466690463</c:v>
                </c:pt>
                <c:pt idx="20">
                  <c:v>2.333693568375034</c:v>
                </c:pt>
              </c:numCache>
            </c:numRef>
          </c:yVal>
          <c:smooth val="1"/>
        </c:ser>
        <c:ser>
          <c:idx val="3"/>
          <c:order val="2"/>
          <c:tx>
            <c:strRef>
              <c:f>'FCR Chart'!$J$8</c:f>
              <c:strCache>
                <c:ptCount val="1"/>
                <c:pt idx="0">
                  <c:v>DTM#4</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Data'!$O$17:$O$37</c:f>
              <c:numCache>
                <c:ptCount val="21"/>
                <c:pt idx="0">
                  <c:v>2.7149999999999976</c:v>
                </c:pt>
                <c:pt idx="1">
                  <c:v>2.7149999999999976</c:v>
                </c:pt>
                <c:pt idx="2">
                  <c:v>2.7149999999999976</c:v>
                </c:pt>
                <c:pt idx="3">
                  <c:v>2.7149999999999976</c:v>
                </c:pt>
                <c:pt idx="4">
                  <c:v>2.7149999999999976</c:v>
                </c:pt>
                <c:pt idx="5">
                  <c:v>2.7048153977301093</c:v>
                </c:pt>
                <c:pt idx="6">
                  <c:v>2.679288499414681</c:v>
                </c:pt>
                <c:pt idx="7">
                  <c:v>2.6537616010992524</c:v>
                </c:pt>
                <c:pt idx="8">
                  <c:v>2.628234702783824</c:v>
                </c:pt>
                <c:pt idx="9">
                  <c:v>2.602707804468395</c:v>
                </c:pt>
                <c:pt idx="10">
                  <c:v>2.577180906152967</c:v>
                </c:pt>
                <c:pt idx="11">
                  <c:v>2.5516540078375387</c:v>
                </c:pt>
                <c:pt idx="12">
                  <c:v>2.5261271095221103</c:v>
                </c:pt>
                <c:pt idx="13">
                  <c:v>2.500600211206682</c:v>
                </c:pt>
                <c:pt idx="14">
                  <c:v>2.4750733128912534</c:v>
                </c:pt>
                <c:pt idx="15">
                  <c:v>2.4495464145758246</c:v>
                </c:pt>
                <c:pt idx="16">
                  <c:v>2.424019516260396</c:v>
                </c:pt>
                <c:pt idx="17">
                  <c:v>2.398492617944968</c:v>
                </c:pt>
                <c:pt idx="18">
                  <c:v>2.3729657196295393</c:v>
                </c:pt>
                <c:pt idx="19">
                  <c:v>2.3474388213141113</c:v>
                </c:pt>
                <c:pt idx="20">
                  <c:v>2.321911922998683</c:v>
                </c:pt>
              </c:numCache>
            </c:numRef>
          </c:yVal>
          <c:smooth val="1"/>
        </c:ser>
        <c:ser>
          <c:idx val="1"/>
          <c:order val="3"/>
          <c:tx>
            <c:strRef>
              <c:f>'FCR Chart'!$J$9</c:f>
              <c:strCache>
                <c:ptCount val="1"/>
                <c:pt idx="0">
                  <c:v>DTM#5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Data'!$U$17:$U$37</c:f>
              <c:numCache>
                <c:ptCount val="21"/>
                <c:pt idx="0">
                  <c:v>2.7149999999999976</c:v>
                </c:pt>
                <c:pt idx="1">
                  <c:v>2.7149999999999976</c:v>
                </c:pt>
                <c:pt idx="2">
                  <c:v>2.7149999999999976</c:v>
                </c:pt>
                <c:pt idx="3">
                  <c:v>2.7149999999999976</c:v>
                </c:pt>
                <c:pt idx="4">
                  <c:v>2.7149999999999976</c:v>
                </c:pt>
                <c:pt idx="5">
                  <c:v>2.6930337523537573</c:v>
                </c:pt>
                <c:pt idx="6">
                  <c:v>2.667506854038329</c:v>
                </c:pt>
                <c:pt idx="7">
                  <c:v>2.6419799557229005</c:v>
                </c:pt>
                <c:pt idx="8">
                  <c:v>2.6164530574074725</c:v>
                </c:pt>
                <c:pt idx="9">
                  <c:v>2.590926159092044</c:v>
                </c:pt>
                <c:pt idx="10">
                  <c:v>2.565399260776615</c:v>
                </c:pt>
                <c:pt idx="11">
                  <c:v>2.539872362461187</c:v>
                </c:pt>
                <c:pt idx="12">
                  <c:v>2.5143454641457583</c:v>
                </c:pt>
                <c:pt idx="13">
                  <c:v>2.4888185658303303</c:v>
                </c:pt>
                <c:pt idx="14">
                  <c:v>2.4632916675149015</c:v>
                </c:pt>
                <c:pt idx="15">
                  <c:v>2.4377647691994735</c:v>
                </c:pt>
                <c:pt idx="16">
                  <c:v>2.412237870884045</c:v>
                </c:pt>
                <c:pt idx="17">
                  <c:v>2.386710972568616</c:v>
                </c:pt>
                <c:pt idx="18">
                  <c:v>2.3611840742531878</c:v>
                </c:pt>
                <c:pt idx="19">
                  <c:v>2.3356571759377593</c:v>
                </c:pt>
                <c:pt idx="20">
                  <c:v>2.3101302776223314</c:v>
                </c:pt>
              </c:numCache>
            </c:numRef>
          </c:yVal>
          <c:smooth val="1"/>
        </c:ser>
        <c:ser>
          <c:idx val="4"/>
          <c:order val="4"/>
          <c:tx>
            <c:strRef>
              <c:f>'FCR Chart'!$J$10</c:f>
              <c:strCache>
                <c:ptCount val="1"/>
                <c:pt idx="0">
                  <c:v>DTM#6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Data'!$AA$17:$AA$37</c:f>
              <c:numCache>
                <c:ptCount val="21"/>
                <c:pt idx="0">
                  <c:v>2.7149999999999976</c:v>
                </c:pt>
                <c:pt idx="1">
                  <c:v>2.7149999999999976</c:v>
                </c:pt>
                <c:pt idx="2">
                  <c:v>2.7149999999999976</c:v>
                </c:pt>
                <c:pt idx="3">
                  <c:v>2.7149999999999976</c:v>
                </c:pt>
                <c:pt idx="4">
                  <c:v>2.706779005292834</c:v>
                </c:pt>
                <c:pt idx="5">
                  <c:v>2.681252106977406</c:v>
                </c:pt>
                <c:pt idx="6">
                  <c:v>2.6557252086619774</c:v>
                </c:pt>
                <c:pt idx="7">
                  <c:v>2.630198310346549</c:v>
                </c:pt>
                <c:pt idx="8">
                  <c:v>2.6046714120311205</c:v>
                </c:pt>
                <c:pt idx="9">
                  <c:v>2.5791445137156925</c:v>
                </c:pt>
                <c:pt idx="10">
                  <c:v>2.553617615400264</c:v>
                </c:pt>
                <c:pt idx="11">
                  <c:v>2.5280907170848357</c:v>
                </c:pt>
                <c:pt idx="12">
                  <c:v>2.502563818769407</c:v>
                </c:pt>
                <c:pt idx="13">
                  <c:v>2.4770369204539784</c:v>
                </c:pt>
                <c:pt idx="14">
                  <c:v>2.45151002213855</c:v>
                </c:pt>
                <c:pt idx="15">
                  <c:v>2.4259831238231215</c:v>
                </c:pt>
                <c:pt idx="16">
                  <c:v>2.400456225507693</c:v>
                </c:pt>
                <c:pt idx="17">
                  <c:v>2.3749293271922647</c:v>
                </c:pt>
                <c:pt idx="18">
                  <c:v>2.3494024288768363</c:v>
                </c:pt>
                <c:pt idx="19">
                  <c:v>2.323875530561408</c:v>
                </c:pt>
                <c:pt idx="20">
                  <c:v>2.2983486322459794</c:v>
                </c:pt>
              </c:numCache>
            </c:numRef>
          </c:yVal>
          <c:smooth val="1"/>
        </c:ser>
        <c:axId val="19950985"/>
        <c:axId val="45341138"/>
      </c:scatterChart>
      <c:valAx>
        <c:axId val="19950985"/>
        <c:scaling>
          <c:orientation val="minMax"/>
          <c:max val="1"/>
        </c:scaling>
        <c:axPos val="t"/>
        <c:title>
          <c:tx>
            <c:rich>
              <a:bodyPr vert="horz" rot="0" anchor="ctr"/>
              <a:lstStyle/>
              <a:p>
                <a:pPr algn="ctr">
                  <a:defRPr/>
                </a:pPr>
                <a:r>
                  <a:rPr lang="en-US" cap="none" sz="1400" b="1" i="0" u="none" baseline="0">
                    <a:latin typeface="Arial"/>
                    <a:ea typeface="Arial"/>
                    <a:cs typeface="Arial"/>
                  </a:rPr>
                  <a:t>&lt;&lt; Idle    Throttle Position    WOT &gt;&gt;   </a:t>
                </a:r>
              </a:p>
            </c:rich>
          </c:tx>
          <c:layout>
            <c:manualLayout>
              <c:xMode val="factor"/>
              <c:yMode val="factor"/>
              <c:x val="0.24825"/>
              <c:y val="0.002"/>
            </c:manualLayout>
          </c:layout>
          <c:overlay val="0"/>
          <c:spPr>
            <a:noFill/>
            <a:ln>
              <a:noFill/>
            </a:ln>
          </c:spPr>
        </c:title>
        <c:majorGridlines/>
        <c:delete val="0"/>
        <c:numFmt formatCode="# ??/??" sourceLinked="0"/>
        <c:majorTickMark val="out"/>
        <c:minorTickMark val="out"/>
        <c:tickLblPos val="high"/>
        <c:crossAx val="45341138"/>
        <c:crossesAt val="1"/>
        <c:crossBetween val="midCat"/>
        <c:dispUnits/>
        <c:majorUnit val="0.125"/>
        <c:minorUnit val="0.0625"/>
      </c:valAx>
      <c:valAx>
        <c:axId val="45341138"/>
        <c:scaling>
          <c:orientation val="maxMin"/>
          <c:max val="2.9"/>
          <c:min val="2.2"/>
        </c:scaling>
        <c:axPos val="l"/>
        <c:title>
          <c:tx>
            <c:rich>
              <a:bodyPr vert="horz" rot="-5400000" anchor="ctr"/>
              <a:lstStyle/>
              <a:p>
                <a:pPr algn="ctr">
                  <a:defRPr/>
                </a:pPr>
                <a:r>
                  <a:rPr lang="en-US" cap="none" sz="1000" b="0" i="0" u="none" baseline="0">
                    <a:latin typeface="Arial"/>
                    <a:ea typeface="Arial"/>
                    <a:cs typeface="Arial"/>
                  </a:rPr>
                  <a:t>&lt;&lt; Less Fuel</a:t>
                </a:r>
                <a:r>
                  <a:rPr lang="en-US" cap="none" sz="1000" b="1" i="0" u="none" baseline="0">
                    <a:latin typeface="Arial"/>
                    <a:ea typeface="Arial"/>
                    <a:cs typeface="Arial"/>
                  </a:rPr>
                  <a:t>   Needle Diameter (mm) </a:t>
                </a:r>
                <a:r>
                  <a:rPr lang="en-US" cap="none" sz="1000" b="0" i="0" u="none" baseline="0">
                    <a:latin typeface="Arial"/>
                    <a:ea typeface="Arial"/>
                    <a:cs typeface="Arial"/>
                  </a:rPr>
                  <a:t> More Fuel &gt;&gt;</a:t>
                </a:r>
                <a:r>
                  <a:rPr lang="en-US" cap="none" sz="1000" b="1" i="0" u="none" baseline="0">
                    <a:latin typeface="Arial"/>
                    <a:ea typeface="Arial"/>
                    <a:cs typeface="Arial"/>
                  </a:rPr>
                  <a:t>
</a:t>
                </a:r>
              </a:p>
            </c:rich>
          </c:tx>
          <c:layout>
            <c:manualLayout>
              <c:xMode val="factor"/>
              <c:yMode val="factor"/>
              <c:x val="0.00475"/>
              <c:y val="0"/>
            </c:manualLayout>
          </c:layout>
          <c:overlay val="0"/>
          <c:spPr>
            <a:noFill/>
            <a:ln>
              <a:noFill/>
            </a:ln>
          </c:spPr>
        </c:title>
        <c:majorGridlines/>
        <c:delete val="0"/>
        <c:numFmt formatCode="0.00" sourceLinked="0"/>
        <c:majorTickMark val="out"/>
        <c:minorTickMark val="out"/>
        <c:tickLblPos val="nextTo"/>
        <c:txPr>
          <a:bodyPr/>
          <a:lstStyle/>
          <a:p>
            <a:pPr>
              <a:defRPr lang="en-US" cap="none" sz="1400" b="0" i="0" u="none" baseline="0">
                <a:latin typeface="Arial"/>
                <a:ea typeface="Arial"/>
                <a:cs typeface="Arial"/>
              </a:defRPr>
            </a:pPr>
          </a:p>
        </c:txPr>
        <c:crossAx val="19950985"/>
        <c:crosses val="autoZero"/>
        <c:crossBetween val="midCat"/>
        <c:dispUnits/>
        <c:majorUnit val="0.1"/>
        <c:minorUnit val="0.05"/>
      </c:valAx>
      <c:spPr>
        <a:noFill/>
        <a:ln w="12700">
          <a:solidFill/>
        </a:ln>
      </c:spPr>
    </c:plotArea>
    <c:legend>
      <c:legendPos val="r"/>
      <c:layout>
        <c:manualLayout>
          <c:xMode val="edge"/>
          <c:yMode val="edge"/>
          <c:x val="0.1835"/>
          <c:y val="0.144"/>
          <c:w val="0.223"/>
          <c:h val="0.214"/>
        </c:manualLayout>
      </c:layout>
      <c:overlay val="0"/>
      <c:spPr>
        <a:ln w="25400">
          <a:solidFill/>
        </a:ln>
      </c:spPr>
      <c:txPr>
        <a:bodyPr vert="horz" rot="0"/>
        <a:lstStyle/>
        <a:p>
          <a:pPr>
            <a:defRPr lang="en-US" cap="none" sz="825" b="1"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Relative Change in Fuel Mixture to Setup #1</a:t>
            </a:r>
          </a:p>
        </c:rich>
      </c:tx>
      <c:layout>
        <c:manualLayout>
          <c:xMode val="factor"/>
          <c:yMode val="factor"/>
          <c:x val="0.013"/>
          <c:y val="0"/>
        </c:manualLayout>
      </c:layout>
      <c:spPr>
        <a:noFill/>
        <a:ln>
          <a:noFill/>
        </a:ln>
      </c:spPr>
    </c:title>
    <c:plotArea>
      <c:layout>
        <c:manualLayout>
          <c:xMode val="edge"/>
          <c:yMode val="edge"/>
          <c:x val="0.06675"/>
          <c:y val="0.11975"/>
          <c:w val="0.91725"/>
          <c:h val="0.8825"/>
        </c:manualLayout>
      </c:layout>
      <c:scatterChart>
        <c:scatterStyle val="smoothMarker"/>
        <c:varyColors val="0"/>
        <c:ser>
          <c:idx val="0"/>
          <c:order val="0"/>
          <c:tx>
            <c:strRef>
              <c:f>'FCR Chart'!$K$6</c:f>
              <c:strCache>
                <c:ptCount val="1"/>
                <c:pt idx="0">
                  <c:v>48P,DTM#2,175M,100FT,70F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Data'!$D$17:$D$37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ser>
          <c:idx val="2"/>
          <c:order val="1"/>
          <c:tx>
            <c:strRef>
              <c:f>'FCR Chart'!$K$7</c:f>
              <c:strCache>
                <c:ptCount val="1"/>
                <c:pt idx="0">
                  <c:v>48P,DTM#3,170M,100FT,70F</c:v>
                </c:pt>
              </c:strCache>
            </c:strRef>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Data'!$K$17:$K$37</c:f>
              <c:numCache>
                <c:ptCount val="21"/>
                <c:pt idx="0">
                  <c:v>-0.026213002734782886</c:v>
                </c:pt>
                <c:pt idx="1">
                  <c:v>-0.08519225888804438</c:v>
                </c:pt>
                <c:pt idx="2">
                  <c:v>-0.12189046271674042</c:v>
                </c:pt>
                <c:pt idx="3">
                  <c:v>1.8355049083105257</c:v>
                </c:pt>
                <c:pt idx="4">
                  <c:v>3.546019662361899</c:v>
                </c:pt>
                <c:pt idx="5">
                  <c:v>4.8191717406927514</c:v>
                </c:pt>
                <c:pt idx="6">
                  <c:v>5.563657938611644</c:v>
                </c:pt>
                <c:pt idx="7">
                  <c:v>4.62651371397973</c:v>
                </c:pt>
                <c:pt idx="8">
                  <c:v>3.7867198200547625</c:v>
                </c:pt>
                <c:pt idx="9">
                  <c:v>3.014155607453972</c:v>
                </c:pt>
                <c:pt idx="10">
                  <c:v>2.291678354702742</c:v>
                </c:pt>
                <c:pt idx="11">
                  <c:v>1.6103914947004583</c:v>
                </c:pt>
                <c:pt idx="12">
                  <c:v>0.9665275841078236</c:v>
                </c:pt>
                <c:pt idx="13">
                  <c:v>0.35927271304825315</c:v>
                </c:pt>
                <c:pt idx="14">
                  <c:v>-0.21076687181074139</c:v>
                </c:pt>
                <c:pt idx="15">
                  <c:v>-0.7426039339450963</c:v>
                </c:pt>
                <c:pt idx="16">
                  <c:v>-1.2355130347579735</c:v>
                </c:pt>
                <c:pt idx="17">
                  <c:v>-1.6893640296401502</c:v>
                </c:pt>
                <c:pt idx="18">
                  <c:v>-2.10473101238583</c:v>
                </c:pt>
                <c:pt idx="19">
                  <c:v>-2.4828548410961937</c:v>
                </c:pt>
                <c:pt idx="20">
                  <c:v>-2.8255244775513777</c:v>
                </c:pt>
              </c:numCache>
            </c:numRef>
          </c:yVal>
          <c:smooth val="1"/>
        </c:ser>
        <c:ser>
          <c:idx val="3"/>
          <c:order val="2"/>
          <c:tx>
            <c:strRef>
              <c:f>'FCR Chart'!$K$8</c:f>
              <c:strCache>
                <c:ptCount val="1"/>
                <c:pt idx="0">
                  <c:v>48P,DTM#4,170M,100FT,70F</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Data'!$Q$17:$Q$37</c:f>
              <c:numCache>
                <c:ptCount val="21"/>
                <c:pt idx="0">
                  <c:v>-0.026213002734782886</c:v>
                </c:pt>
                <c:pt idx="1">
                  <c:v>-0.08519225888804438</c:v>
                </c:pt>
                <c:pt idx="2">
                  <c:v>1.4984217224346645</c:v>
                </c:pt>
                <c:pt idx="3">
                  <c:v>5.518438449739893</c:v>
                </c:pt>
                <c:pt idx="4">
                  <c:v>8.85905751045839</c:v>
                </c:pt>
                <c:pt idx="5">
                  <c:v>11.284485730512838</c:v>
                </c:pt>
                <c:pt idx="6">
                  <c:v>11.38767431822889</c:v>
                </c:pt>
                <c:pt idx="7">
                  <c:v>9.635075242925062</c:v>
                </c:pt>
                <c:pt idx="8">
                  <c:v>8.11301921869212</c:v>
                </c:pt>
                <c:pt idx="9">
                  <c:v>6.759275324115066</c:v>
                </c:pt>
                <c:pt idx="10">
                  <c:v>5.536038033246493</c:v>
                </c:pt>
                <c:pt idx="11">
                  <c:v>4.420553669019811</c:v>
                </c:pt>
                <c:pt idx="12">
                  <c:v>3.3992524055633355</c:v>
                </c:pt>
                <c:pt idx="13">
                  <c:v>2.4639153350985543</c:v>
                </c:pt>
                <c:pt idx="14">
                  <c:v>1.6091573786498614</c:v>
                </c:pt>
                <c:pt idx="15">
                  <c:v>0.8308303286990837</c:v>
                </c:pt>
                <c:pt idx="16">
                  <c:v>0.12508749438666644</c:v>
                </c:pt>
                <c:pt idx="17">
                  <c:v>-0.5120861155165302</c:v>
                </c:pt>
                <c:pt idx="18">
                  <c:v>-1.0850357862377202</c:v>
                </c:pt>
                <c:pt idx="19">
                  <c:v>-1.5984154978512688</c:v>
                </c:pt>
                <c:pt idx="20">
                  <c:v>-2.0570743727099883</c:v>
                </c:pt>
              </c:numCache>
            </c:numRef>
          </c:yVal>
          <c:smooth val="1"/>
        </c:ser>
        <c:ser>
          <c:idx val="1"/>
          <c:order val="3"/>
          <c:tx>
            <c:strRef>
              <c:f>'FCR Chart'!$K$9</c:f>
              <c:strCache>
                <c:ptCount val="1"/>
                <c:pt idx="0">
                  <c:v>48P,DTM#5,170M,100FT,70F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Data'!$W$17:$W$37</c:f>
              <c:numCache>
                <c:ptCount val="21"/>
                <c:pt idx="0">
                  <c:v>-0.026213002734782886</c:v>
                </c:pt>
                <c:pt idx="1">
                  <c:v>-0.08519225888804438</c:v>
                </c:pt>
                <c:pt idx="2">
                  <c:v>3.373414704030706</c:v>
                </c:pt>
                <c:pt idx="3">
                  <c:v>9.468479930772467</c:v>
                </c:pt>
                <c:pt idx="4">
                  <c:v>14.410162713963114</c:v>
                </c:pt>
                <c:pt idx="5">
                  <c:v>17.92772769975688</c:v>
                </c:pt>
                <c:pt idx="6">
                  <c:v>17.139929458549453</c:v>
                </c:pt>
                <c:pt idx="7">
                  <c:v>14.557187254730941</c:v>
                </c:pt>
                <c:pt idx="8">
                  <c:v>12.343491579979847</c:v>
                </c:pt>
                <c:pt idx="9">
                  <c:v>10.403658012826389</c:v>
                </c:pt>
                <c:pt idx="10">
                  <c:v>8.67850309157927</c:v>
                </c:pt>
                <c:pt idx="11">
                  <c:v>7.130718011471604</c:v>
                </c:pt>
                <c:pt idx="12">
                  <c:v>5.736230385173324</c:v>
                </c:pt>
                <c:pt idx="13">
                  <c:v>4.47873822360676</c:v>
                </c:pt>
                <c:pt idx="14">
                  <c:v>3.3462460590600207</c:v>
                </c:pt>
                <c:pt idx="15">
                  <c:v>2.3289413550912963</c:v>
                </c:pt>
                <c:pt idx="16">
                  <c:v>1.4179836989984151</c:v>
                </c:pt>
                <c:pt idx="17">
                  <c:v>0.6049008730439009</c:v>
                </c:pt>
                <c:pt idx="18">
                  <c:v>-0.1186355257542071</c:v>
                </c:pt>
                <c:pt idx="19">
                  <c:v>-0.760820468731338</c:v>
                </c:pt>
                <c:pt idx="20">
                  <c:v>-1.329625572282045</c:v>
                </c:pt>
              </c:numCache>
            </c:numRef>
          </c:yVal>
          <c:smooth val="1"/>
        </c:ser>
        <c:ser>
          <c:idx val="4"/>
          <c:order val="4"/>
          <c:tx>
            <c:strRef>
              <c:f>'FCR Chart'!$K$10</c:f>
              <c:strCache>
                <c:ptCount val="1"/>
                <c:pt idx="0">
                  <c:v>48P,DTM#6,168M,100FT,70F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'FCR Calc Data'!$A$17:$A$37</c:f>
              <c:numCache>
                <c:ptCount val="2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numCache>
            </c:numRef>
          </c:xVal>
          <c:yVal>
            <c:numRef>
              <c:f>'FCR Calc Data'!$AC$17:$AC$37</c:f>
              <c:numCache>
                <c:ptCount val="21"/>
                <c:pt idx="0">
                  <c:v>-0.03839551459075885</c:v>
                </c:pt>
                <c:pt idx="1">
                  <c:v>0.7870399687616747</c:v>
                </c:pt>
                <c:pt idx="2">
                  <c:v>6.482708471728248</c:v>
                </c:pt>
                <c:pt idx="3">
                  <c:v>14.678611965936605</c:v>
                </c:pt>
                <c:pt idx="4">
                  <c:v>21.054239875604353</c:v>
                </c:pt>
                <c:pt idx="5">
                  <c:v>24.25624221615785</c:v>
                </c:pt>
                <c:pt idx="6">
                  <c:v>22.468676916931575</c:v>
                </c:pt>
                <c:pt idx="7">
                  <c:v>18.947873190091393</c:v>
                </c:pt>
                <c:pt idx="8">
                  <c:v>15.930182028333583</c:v>
                </c:pt>
                <c:pt idx="9">
                  <c:v>13.289226286412358</c:v>
                </c:pt>
                <c:pt idx="10">
                  <c:v>10.946566307667794</c:v>
                </c:pt>
                <c:pt idx="11">
                  <c:v>8.852459064673134</c:v>
                </c:pt>
                <c:pt idx="12">
                  <c:v>6.974207215303907</c:v>
                </c:pt>
                <c:pt idx="13">
                  <c:v>5.288924099263337</c:v>
                </c:pt>
                <c:pt idx="14">
                  <c:v>3.7790757588359147</c:v>
                </c:pt>
                <c:pt idx="15">
                  <c:v>2.429847662398088</c:v>
                </c:pt>
                <c:pt idx="16">
                  <c:v>1.227714072669439</c:v>
                </c:pt>
                <c:pt idx="17">
                  <c:v>0.1597724930978206</c:v>
                </c:pt>
                <c:pt idx="18">
                  <c:v>-0.7864692817207364</c:v>
                </c:pt>
                <c:pt idx="19">
                  <c:v>-1.62306951162976</c:v>
                </c:pt>
                <c:pt idx="20">
                  <c:v>-2.3615320363609915</c:v>
                </c:pt>
              </c:numCache>
            </c:numRef>
          </c:yVal>
          <c:smooth val="1"/>
        </c:ser>
        <c:axId val="5417059"/>
        <c:axId val="48753532"/>
      </c:scatterChart>
      <c:valAx>
        <c:axId val="5417059"/>
        <c:scaling>
          <c:orientation val="minMax"/>
          <c:max val="1"/>
        </c:scaling>
        <c:axPos val="b"/>
        <c:title>
          <c:tx>
            <c:rich>
              <a:bodyPr vert="horz" rot="0" anchor="ctr"/>
              <a:lstStyle/>
              <a:p>
                <a:pPr algn="ctr">
                  <a:defRPr/>
                </a:pPr>
                <a:r>
                  <a:rPr lang="en-US" cap="none" sz="1400" b="1" i="0" u="none" baseline="0">
                    <a:latin typeface="Arial"/>
                    <a:ea typeface="Arial"/>
                    <a:cs typeface="Arial"/>
                  </a:rPr>
                  <a:t>&lt;&lt; Idle    Throttle Position    WOT &gt;&gt;    </a:t>
                </a:r>
              </a:p>
            </c:rich>
          </c:tx>
          <c:layout>
            <c:manualLayout>
              <c:xMode val="factor"/>
              <c:yMode val="factor"/>
              <c:x val="0.0185"/>
              <c:y val="0.0085"/>
            </c:manualLayout>
          </c:layout>
          <c:overlay val="0"/>
          <c:spPr>
            <a:noFill/>
            <a:ln>
              <a:noFill/>
            </a:ln>
          </c:spPr>
        </c:title>
        <c:majorGridlines/>
        <c:delete val="0"/>
        <c:numFmt formatCode="# ??/??" sourceLinked="0"/>
        <c:majorTickMark val="none"/>
        <c:minorTickMark val="none"/>
        <c:tickLblPos val="nextTo"/>
        <c:crossAx val="48753532"/>
        <c:crossesAt val="-30"/>
        <c:crossBetween val="midCat"/>
        <c:dispUnits/>
        <c:majorUnit val="0.125"/>
        <c:minorUnit val="0.0625"/>
      </c:valAx>
      <c:valAx>
        <c:axId val="48753532"/>
        <c:scaling>
          <c:orientation val="minMax"/>
          <c:max val="30"/>
          <c:min val="-30"/>
        </c:scaling>
        <c:axPos val="l"/>
        <c:title>
          <c:tx>
            <c:rich>
              <a:bodyPr vert="horz" rot="-5400000" anchor="ctr"/>
              <a:lstStyle/>
              <a:p>
                <a:pPr algn="ctr">
                  <a:defRPr/>
                </a:pPr>
                <a:r>
                  <a:rPr lang="en-US" cap="none" sz="1200" b="0" i="0" u="none" baseline="0">
                    <a:latin typeface="Arial"/>
                    <a:ea typeface="Arial"/>
                    <a:cs typeface="Arial"/>
                  </a:rPr>
                  <a:t>&lt;&lt; Less Fuel</a:t>
                </a:r>
                <a:r>
                  <a:rPr lang="en-US" cap="none" sz="1200" b="1" i="0" u="none" baseline="0">
                    <a:latin typeface="Arial"/>
                    <a:ea typeface="Arial"/>
                    <a:cs typeface="Arial"/>
                  </a:rPr>
                  <a:t>   Fuel Mixture </a:t>
                </a:r>
                <a:r>
                  <a:rPr lang="en-US" cap="none" sz="1200" b="0" i="0" u="none" baseline="0">
                    <a:latin typeface="Arial"/>
                    <a:ea typeface="Arial"/>
                    <a:cs typeface="Arial"/>
                  </a:rPr>
                  <a:t> More Fuel &gt;&gt;</a:t>
                </a:r>
                <a:r>
                  <a:rPr lang="en-US" cap="none" sz="1200" b="1" i="0" u="none" baseline="0">
                    <a:latin typeface="Arial"/>
                    <a:ea typeface="Arial"/>
                    <a:cs typeface="Arial"/>
                  </a:rPr>
                  <a:t>
</a:t>
                </a:r>
              </a:p>
            </c:rich>
          </c:tx>
          <c:layout>
            <c:manualLayout>
              <c:xMode val="factor"/>
              <c:yMode val="factor"/>
              <c:x val="0.00825"/>
              <c:y val="-0.0035"/>
            </c:manualLayout>
          </c:layout>
          <c:overlay val="0"/>
          <c:spPr>
            <a:noFill/>
            <a:ln>
              <a:noFill/>
            </a:ln>
          </c:spPr>
        </c:title>
        <c:majorGridlines/>
        <c:delete val="0"/>
        <c:numFmt formatCode="0" sourceLinked="0"/>
        <c:majorTickMark val="out"/>
        <c:minorTickMark val="out"/>
        <c:tickLblPos val="nextTo"/>
        <c:txPr>
          <a:bodyPr/>
          <a:lstStyle/>
          <a:p>
            <a:pPr>
              <a:defRPr lang="en-US" cap="none" sz="1400" b="0" i="0" u="none" baseline="0">
                <a:latin typeface="Arial"/>
                <a:ea typeface="Arial"/>
                <a:cs typeface="Arial"/>
              </a:defRPr>
            </a:pPr>
          </a:p>
        </c:txPr>
        <c:crossAx val="5417059"/>
        <c:crossesAt val="0"/>
        <c:crossBetween val="midCat"/>
        <c:dispUnits/>
        <c:majorUnit val="10"/>
      </c:valAx>
      <c:spPr>
        <a:noFill/>
        <a:ln w="12700">
          <a:solidFill/>
        </a:ln>
      </c:spPr>
    </c:plotArea>
    <c:legend>
      <c:legendPos val="r"/>
      <c:layout>
        <c:manualLayout>
          <c:xMode val="edge"/>
          <c:yMode val="edge"/>
          <c:x val="0.56975"/>
          <c:y val="0.16275"/>
          <c:w val="0.4255"/>
          <c:h val="0.19025"/>
        </c:manualLayout>
      </c:layout>
      <c:overlay val="0"/>
      <c:spPr>
        <a:ln w="25400">
          <a:solidFill/>
        </a:ln>
      </c:spPr>
      <c:txPr>
        <a:bodyPr vert="horz" rot="0"/>
        <a:lstStyle/>
        <a:p>
          <a:pPr>
            <a:defRPr lang="en-US" cap="none" sz="975" b="1"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6.emf" /><Relationship Id="rId7" Type="http://schemas.openxmlformats.org/officeDocument/2006/relationships/image" Target="../media/image12.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95250</xdr:rowOff>
    </xdr:from>
    <xdr:ext cx="6772275" cy="3886200"/>
    <xdr:sp>
      <xdr:nvSpPr>
        <xdr:cNvPr id="1" name="TextBox 1"/>
        <xdr:cNvSpPr txBox="1">
          <a:spLocks noChangeArrowheads="1"/>
        </xdr:cNvSpPr>
      </xdr:nvSpPr>
      <xdr:spPr>
        <a:xfrm>
          <a:off x="666750" y="742950"/>
          <a:ext cx="6772275" cy="388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171450</xdr:colOff>
      <xdr:row>1</xdr:row>
      <xdr:rowOff>85725</xdr:rowOff>
    </xdr:from>
    <xdr:ext cx="6410325" cy="9972675"/>
    <xdr:sp>
      <xdr:nvSpPr>
        <xdr:cNvPr id="2" name="TextBox 2"/>
        <xdr:cNvSpPr txBox="1">
          <a:spLocks noChangeArrowheads="1"/>
        </xdr:cNvSpPr>
      </xdr:nvSpPr>
      <xdr:spPr>
        <a:xfrm>
          <a:off x="171450" y="247650"/>
          <a:ext cx="6410325" cy="9972675"/>
        </a:xfrm>
        <a:prstGeom prst="rect">
          <a:avLst/>
        </a:prstGeom>
        <a:solidFill>
          <a:srgbClr val="FFFFFF"/>
        </a:solidFill>
        <a:ln w="9525" cmpd="sng">
          <a:noFill/>
        </a:ln>
      </xdr:spPr>
      <xdr:txBody>
        <a:bodyPr vertOverflow="clip" wrap="square" lIns="274320" tIns="594360" rIns="274320" bIns="320040"/>
        <a:p>
          <a:pPr algn="l">
            <a:defRPr/>
          </a:pPr>
          <a:r>
            <a:rPr lang="en-US" cap="none" sz="1000" b="1" i="0" u="none" baseline="0">
              <a:latin typeface="Arial"/>
              <a:ea typeface="Arial"/>
              <a:cs typeface="Arial"/>
            </a:rPr>
            <a:t>                                  </a:t>
          </a:r>
          <a:r>
            <a:rPr lang="en-US" cap="none" sz="1200" b="1" i="0" u="sng" baseline="0">
              <a:latin typeface="Arial"/>
              <a:ea typeface="Arial"/>
              <a:cs typeface="Arial"/>
            </a:rPr>
            <a:t> James Dean's Keihin Jetting Guide </a:t>
          </a:r>
          <a:r>
            <a:rPr lang="en-US" cap="none" sz="1000" b="1" i="0" u="none" baseline="0">
              <a:latin typeface="Arial"/>
              <a:ea typeface="Arial"/>
              <a:cs typeface="Arial"/>
            </a:rPr>
            <a:t>
This jetting guide and spreadsheet is designed to make graphs of your jetting using Keihin FCR, PWK, PJ, or PWM carburetors. The graphs are based on needle diameter and jet area. They can be used to improve performance by altering jetting at desired throttle positions with nearly predictable results. Three settings can be compared at a time. A baseline jetting is input first, then two potential jetting configurations are compared to it. 
Jetting adjustments for temperature and altitude can be estimated across the throttle range before race day. Adjustments needed can be seen by entering the current pilot jet, needle code, clip position, and main jet with altitude and temperature. Race day conditions are then input to see the effects in a “Relative Change” graph. Insert new settings until the jetting remains close to the same across the throttle range under the new conditions. 
Mathematical equations solve the transition from needle to main jet. Needle taper angles affect the full throttle jetting and this is taken into account. The main jet also interacts very slightly down as low as 1/8 throttle, which is also resolved mathematically. No program can perfectly reflect these factors, but many subtle trends and effects result and have been incorporated.
The majority of this fuel charting is based on measurements of the needle diameter along it’s length. As the throttle is opened, the variable gap between the needle and nozzle increases fuel delivered from the carburetor. The diameter near the nozzle top is shown versus throttle position in a “Needle Profile” chart. A second graph shows “Relative Change in Jetting” from each of the components combined. The graphs can be used to compare settings and dial in your bike for your conditions. This will help save time and costly needles or jets that often do not give the desired results.
Over 210 “standard” Keihin needles are available from the aftermarket and can be seen by entering the appropriate codes. All the Keihin optional needles are single tapered. That is to say, there is a straight diameter dimension and one taper angle. About 120 of these fit the 2-stroke carbs and 90 are designed for the 4-stroke FCR carb. All of the new 4-strokes with FCR carbs use needles with the same three letter, single taper codes. A few of the 4-stroke factory needles have been listed on the “FCR Chart” page. A refined selection of Keihin and OEM needles are shown on the "Needles PWK" and "Needles FCR" pages.
In addition to standard Keihin needles, many of the more specialized factory 2-stroke needles have been measured and included in the look-up tables. These are double and triple tapered needles used in 2002 MX model carbs such as NOZE,F,G,H,I(250SX), N8RF,G,H,W(RM250), N3EH,W,J,K(YZ250), NAFD,E,F,G(KX250), and N3WD,E,F,G(KX250 option). These will allow insight as to what others are using and give a view of some options if you decide to change jetting. These are listed on the "PWK Chart" page.
Start by reading "Throttle position Jetting" to get familiar with the program and the effects of each throttle position.  The “PWK Chart” (2-stroke) and “FCR Chart” (4-stroke) pages are where the jetting inputs are placed in the GRAY BOXES. This is the working area of the spreadsheet. Change jetting components one at a time to see one or both graphs update. See the "Examples" page for a few specific cases of popular jetting changes. Then work on your own jetting to maximize performance for your personal riding conditions.
Have Fun!
James Dean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xdr:row>
      <xdr:rowOff>114300</xdr:rowOff>
    </xdr:from>
    <xdr:ext cx="6572250" cy="10086975"/>
    <xdr:sp>
      <xdr:nvSpPr>
        <xdr:cNvPr id="1" name="TextBox 1"/>
        <xdr:cNvSpPr txBox="1">
          <a:spLocks noChangeArrowheads="1"/>
        </xdr:cNvSpPr>
      </xdr:nvSpPr>
      <xdr:spPr>
        <a:xfrm>
          <a:off x="85725" y="276225"/>
          <a:ext cx="6572250" cy="10086975"/>
        </a:xfrm>
        <a:prstGeom prst="rect">
          <a:avLst/>
        </a:prstGeom>
        <a:solidFill>
          <a:srgbClr val="FFFFFF"/>
        </a:solidFill>
        <a:ln w="9525" cmpd="sng">
          <a:noFill/>
        </a:ln>
      </xdr:spPr>
      <xdr:txBody>
        <a:bodyPr vertOverflow="clip" wrap="square" lIns="274320" tIns="594360" rIns="274320" bIns="320040"/>
        <a:p>
          <a:pPr algn="l">
            <a:defRPr/>
          </a:pPr>
          <a:r>
            <a:rPr lang="en-US" cap="none" sz="1000" b="1" i="0" u="none" baseline="0">
              <a:latin typeface="Arial"/>
              <a:ea typeface="Arial"/>
              <a:cs typeface="Arial"/>
            </a:rPr>
            <a:t>                                           </a:t>
          </a:r>
          <a:r>
            <a:rPr lang="en-US" cap="none" sz="1200" b="1" i="0" u="sng" baseline="0">
              <a:latin typeface="Arial"/>
              <a:ea typeface="Arial"/>
              <a:cs typeface="Arial"/>
            </a:rPr>
            <a:t>   JETTING BY THROTTLE POSITION   </a:t>
          </a:r>
          <a:r>
            <a:rPr lang="en-US" cap="none" sz="1000" b="1" i="0" u="none" baseline="0">
              <a:latin typeface="Arial"/>
              <a:ea typeface="Arial"/>
              <a:cs typeface="Arial"/>
            </a:rPr>
            <a:t>
                                                         0 - 1/8 THROTTLE JETTING
The pilot jet is the most effective component for controlling idle mixture and slightly above. This can be seen by only changing the pilot jet in the spreadsheet and keeping the remainder of the 3 jetting inputs identical. Look for the results in the “Relative Change” graph. The effect will not appear in the “Needle Profile” graph because it is in a separate circuit. Notice how the relative change tapers down with no measureable amount at 3/8 throttle. Try the following example.
EXAMPLE- (Make changes in the GRAY BOXES of the respective sheet)
PWK Chart inputs- pilot jets: 45,42,48, needles: C-E-K, clips: 3, mains: 170,
Alt: 1000, Temp: 65
FCR Chart inputs- pilot jets: 45,42,48, needles: E-M-R, clips: 4, mains: 170,
Alt: 1000, Temp: 65 
The idle mixture is also metered by other components in the pilot circuit. This includes the pilot screw on the FCR (fuel screw) and the air screw on the PWK.  Turning the pilot screw out (FCR) will make idle and off-idle richer. Turning the air screw out will make the idle and off-idle leaner. The FCR has an optional air screw available from the aftermarket (Sudco or Carb Parts Warehouse ) which will replace the pilot “air” jet for more freedom of adjustment.
The needle straight diameter also has an effect at closed throttle. It is less noticeable at engine idle speed and more apparent under riding conditions. The pilot jet will overlap with the needle straight diameter as the throttle is slowly opened. A fast or inconsistent idle when the bike is hot can be a result of too large (lean) of a needle straight diameter or a pilot jet too small.
                                                     0 - 1/4 THROTTLE
The needle straight diameter is most effective near 1/8 throttle. Sometmes changing the pilot jet is not be enough to get desired results at 1/8 throttle and changing the clip position compromises jetting higher up. This is where single taper needles have an advantage. They more greatly influence jetting in the narrow range off idle before the taper of the needle takes effect. Change the needle diameter in the spreadsheet by altering  that component only. This is the 3rd letter in the Keihin codes or last letter in the Nxxx factory codes. Look for the change to appear in both the needle diameter and the relative change graphs.
EXAMPLE-
PWK inputs- pilot jets: 45, needles: C-E-J,G,L, clips: 3, mains: 170,
Alt: 1000, Temp: 65
FCR  inputs- pilot jets: 45, needles: E-M-N,P,M, clips: 3, mains: 170,
Alt: 1000, Temp: 65
The PWK triple taper needles have less effect in this range because the first taper is dominating and richening jetting there. The first taper will often cause a sputtering rich condition but give a hit in power at ½ throttle. This is better for a short burst but lessens control as the throttle is rolled open more slowly. The first taper of a triple taper needle is a good example of overlapping circuits making a significant affect elsewhere, ½ - full throttle in this case. This gives you an opportunity to choose your power delivery by jetting. Riding conditions and style make the perfect setting for a Pro MXer become a plug fouling nightmare for a woods riding beginner or intermediate rider.
EXAMPLE TRIPLE TAPER (PWK only)-
PWK inputs- pilot jets: 48, needles: N-O-ZE,N-O-ZH,N-8-5C, clips: 2,2,3,
mains: 170, Alt: 1000, Temp: 65
(Slide cutaway has nearly the same affect as needle diameter and is more effective on triple taper needles.) 
</a:t>
          </a:r>
        </a:p>
      </xdr:txBody>
    </xdr:sp>
    <xdr:clientData/>
  </xdr:oneCellAnchor>
  <xdr:oneCellAnchor>
    <xdr:from>
      <xdr:col>0</xdr:col>
      <xdr:colOff>76200</xdr:colOff>
      <xdr:row>64</xdr:row>
      <xdr:rowOff>66675</xdr:rowOff>
    </xdr:from>
    <xdr:ext cx="6543675" cy="9934575"/>
    <xdr:sp>
      <xdr:nvSpPr>
        <xdr:cNvPr id="2" name="TextBox 2"/>
        <xdr:cNvSpPr txBox="1">
          <a:spLocks noChangeArrowheads="1"/>
        </xdr:cNvSpPr>
      </xdr:nvSpPr>
      <xdr:spPr>
        <a:xfrm>
          <a:off x="76200" y="10429875"/>
          <a:ext cx="6543675" cy="9934575"/>
        </a:xfrm>
        <a:prstGeom prst="rect">
          <a:avLst/>
        </a:prstGeom>
        <a:solidFill>
          <a:srgbClr val="FFFFFF"/>
        </a:solidFill>
        <a:ln w="9525" cmpd="sng">
          <a:noFill/>
        </a:ln>
      </xdr:spPr>
      <xdr:txBody>
        <a:bodyPr vertOverflow="clip" wrap="square" lIns="274320" tIns="594360" rIns="274320" bIns="320040"/>
        <a:p>
          <a:pPr algn="l">
            <a:defRPr/>
          </a:pPr>
          <a:r>
            <a:rPr lang="en-US" cap="none" sz="1000" b="1" i="0" u="none" baseline="0">
              <a:latin typeface="Arial"/>
              <a:ea typeface="Arial"/>
              <a:cs typeface="Arial"/>
            </a:rPr>
            <a:t>                                                      1/8 - 5/8  THROTTLE
The needle clip position is most effective in this range. Clip positions are numbered from the top down, with the top position(leanest) being 1. The clip position is easy to change and costs nothing to experiment with. Most stock 2-strokes come jetted a little rich for break-in. Shifting the clip a step higher lowers the needle and restricts the fuel slightly. This is often needed to get clean response. If the jetting becomes too lean at ¼ throttle but is still rich at 1/8, try an optional needle with a leaner straight diameter.
4-strokes are also sensitive to clip position. When the FCR carb is wicked open hard at low speeds there is usually a momentary bog. Try a richer clip to improve this condition. A richer clip is also needed when reducing the accelerator pump flow with the P-38 Lightning (see www.mxsouth.com/perp38lit.htm ) or installation of a stop screw on the pump stroke (search for "BK Mod" on www.thumpertalk.com ). Always check and time the pump flow from the accelerator pump before and after altering it. The stock flow is about 3 seconds in duration and can be reduced to less than half that at .5 - 1.5 seconds.
EXAMPLE
PWK inputs- pilot jets: 45, needles: C-E-K, clips: 3,2,4, mains: 175,
Alt: 1000, Temp: 65
FCR  inputs- pilot jets: 45, needles: E-L-P, clips: 4,3,5 mains: 170,
Alt: 1000, Temp: 65
If the needle you are using ends up in the top or bottom clip position, there are optional needles for replacement with extended clip range. They can be found by searching the Keihin optional needles and changing only the second letter. Identical settings are found with more than one needle after shifting the clip position. KTM needles NOZ- are also 2 clips richer than N85- needles.
EXAMPLE
PWK inputs- pilot jets: 45, needles: C-C-K,C-E-K,C-G-K, clips: 1,3,5 mains: 175,
Alt: 1000, Temp: 65
FCR  inputs- pilot jets: 45, needles: E-M-P,E-K-P,E-H-P, clips: 4,3,2 mains: 170,
Alt: 1000, Temp: 65
                                                     1/2 - 3/4  THROTTLE
The needle taper is used to balance jetting between ¼ and ¾ throttle. If the mixture is perfect at ¼ and full throttle and lean at ½- ¾ throttle, try a needle with more taper. In the case of the FCR carb a smaller main jet should be used by 1-2 sizes when the needle taper is increased from Dxx to Exx (or Fxx). The clip position is critical to getting a good test run when changing taper. Position the needle so the taper transition and jetting is close to the same at 1/4 throttle. The spreadsheet helps identify and align where the taper start occurs.
A few bikes that respond well to more needle taper are the KTM RFS models and WR400’s with DTM and DRR needles and KDX’s with R1172N needles. The YZ250F can benefit from needle FHN.
EXAMPLE
PWK inputs- pilot jets: 45, needles: C-E-K,B-E-K,D-E-K, clips: 3,1,4, mains: 175,
Alt: 1000, Temp: 65
FCR  inputs- pilot jets: 45, needles: E-M-M,D-T-M,F-H-M, clips: 4,3,5, mains: 170,
Alt: 1000, Temp: 65
KDX PWK inputs- pilot jets: 38, needles: R11-72-N, R13-70-M, C-E-K, clips: 4,4,3, mains: 155,
Alt: 1000, Temp: 65
</a:t>
          </a:r>
        </a:p>
      </xdr:txBody>
    </xdr:sp>
    <xdr:clientData/>
  </xdr:oneCellAnchor>
  <xdr:oneCellAnchor>
    <xdr:from>
      <xdr:col>0</xdr:col>
      <xdr:colOff>57150</xdr:colOff>
      <xdr:row>129</xdr:row>
      <xdr:rowOff>0</xdr:rowOff>
    </xdr:from>
    <xdr:ext cx="6572250" cy="9839325"/>
    <xdr:sp>
      <xdr:nvSpPr>
        <xdr:cNvPr id="3" name="TextBox 4"/>
        <xdr:cNvSpPr txBox="1">
          <a:spLocks noChangeArrowheads="1"/>
        </xdr:cNvSpPr>
      </xdr:nvSpPr>
      <xdr:spPr>
        <a:xfrm>
          <a:off x="57150" y="20888325"/>
          <a:ext cx="6572250" cy="9839325"/>
        </a:xfrm>
        <a:prstGeom prst="rect">
          <a:avLst/>
        </a:prstGeom>
        <a:solidFill>
          <a:srgbClr val="FFFFFF"/>
        </a:solidFill>
        <a:ln w="9525" cmpd="sng">
          <a:noFill/>
        </a:ln>
      </xdr:spPr>
      <xdr:txBody>
        <a:bodyPr vertOverflow="clip" wrap="square" lIns="274320" tIns="594360" rIns="274320" bIns="320040"/>
        <a:p>
          <a:pPr algn="l">
            <a:defRPr/>
          </a:pPr>
          <a:r>
            <a:rPr lang="en-US" cap="none" sz="1000" b="1" i="0" u="none" baseline="0">
              <a:latin typeface="Arial"/>
              <a:ea typeface="Arial"/>
              <a:cs typeface="Arial"/>
            </a:rPr>
            <a:t>                                                        3/4-FULL THROTTLE
The main jet affects this range. Choose a main jet that gives the best WOT performance. The main jet also has a small effect down as low as 3/8 throttle. Try to select a main jet first when jetting because of this. A safe choice is to select the largest main jet that gives you the maximum RPMs. 4-strokes can be difficult to assess because the rev limiter cuts out at high revs too. Do not expect to reduce plug fouling by changing a main jet. Look at low throttle jetting for plug fouling problems.
EXAMPLE
PWK inputs- pilot jets: 45, needles: C-E-K, clips: 3, mains: 175,165,185,
Alt: 1000, Temp: 65
FCR  inputs- pilot jets: 45, needles: E-M-N, clips: 4 mains: 170,160,180,
Alt: 1000, Temp: 65
                                                  ALTITUDE AND TEMPERATURE
Input the altitude and temperatures for the conditions you want to compare. Try shifting the needle clip positions to get the "Relative Change" graph to a minimum. Then adjust the main jet and pilot jet to get close to a zero percent change across the throttle range. The altitude and temperature jetting effects will only be reflected on the "relative Change" graph. The "Needle Profile" is unaffected by these changes in the spreadsheet.
EXAMPLE
PWK inputs- pilot jets: 48, needles: N-O-ZI, clips: 3, mains: 175,
Alt: 500,8000,10000, Temp: 70,85,95
FCR  inputs- pilot jets: 45, needles: E-K-R, clips: 4 mains: 175,
Alt: 500,8000,10000, Temp: 70,85,95 
EXAMPLE AFTER ADJUSTMENTS FOR CONDITIONS
PWK inputs- pilot jets: 45,42,42 needles: N-O-ZI, clips: 3,2,1 mains: 175,168,165
Alt: 500,8000,10000, Temp: 70,85,95
FCR  inputs- pilot jets: 45,42,40 needles: E-K-R, clips: 4,3,3 mains: 175,165,162
Alt: 500,8000,10000, Temp: 70,85,95 
The results are slightly different between these 2 carburetors. The PWK is using a triple taper needle which is influencing the results in ways that ordinary tables would not recognize. Subtle corrections such as this are not found in conventional textbook tuning guides. There are mathematical equations built into the program to deal with the overlapping circuits from the pilot, needle, and main jet. In this way the spreadsheet adds a new dimension to bike setup, dealing with throttle position and needle interaction across the range. 
Hopefully you will find the spreadsheet to be another useful tool for tuning your bike and maximizing performance.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76200</xdr:rowOff>
    </xdr:from>
    <xdr:to>
      <xdr:col>9</xdr:col>
      <xdr:colOff>9525</xdr:colOff>
      <xdr:row>42</xdr:row>
      <xdr:rowOff>114300</xdr:rowOff>
    </xdr:to>
    <xdr:graphicFrame>
      <xdr:nvGraphicFramePr>
        <xdr:cNvPr id="1" name="Chart 1"/>
        <xdr:cNvGraphicFramePr/>
      </xdr:nvGraphicFramePr>
      <xdr:xfrm>
        <a:off x="76200" y="2085975"/>
        <a:ext cx="5667375" cy="5219700"/>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10</xdr:row>
      <xdr:rowOff>85725</xdr:rowOff>
    </xdr:from>
    <xdr:to>
      <xdr:col>15</xdr:col>
      <xdr:colOff>457200</xdr:colOff>
      <xdr:row>45</xdr:row>
      <xdr:rowOff>0</xdr:rowOff>
    </xdr:to>
    <xdr:graphicFrame>
      <xdr:nvGraphicFramePr>
        <xdr:cNvPr id="2" name="Chart 10"/>
        <xdr:cNvGraphicFramePr/>
      </xdr:nvGraphicFramePr>
      <xdr:xfrm>
        <a:off x="5819775" y="2095500"/>
        <a:ext cx="6696075" cy="5610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0</xdr:rowOff>
    </xdr:from>
    <xdr:to>
      <xdr:col>9</xdr:col>
      <xdr:colOff>0</xdr:colOff>
      <xdr:row>39</xdr:row>
      <xdr:rowOff>123825</xdr:rowOff>
    </xdr:to>
    <xdr:graphicFrame>
      <xdr:nvGraphicFramePr>
        <xdr:cNvPr id="1" name="Chart 1"/>
        <xdr:cNvGraphicFramePr/>
      </xdr:nvGraphicFramePr>
      <xdr:xfrm>
        <a:off x="19050" y="2162175"/>
        <a:ext cx="6086475" cy="4581525"/>
      </xdr:xfrm>
      <a:graphic>
        <a:graphicData uri="http://schemas.openxmlformats.org/drawingml/2006/chart">
          <c:chart xmlns:c="http://schemas.openxmlformats.org/drawingml/2006/chart" r:id="rId1"/>
        </a:graphicData>
      </a:graphic>
    </xdr:graphicFrame>
    <xdr:clientData/>
  </xdr:twoCellAnchor>
  <xdr:twoCellAnchor>
    <xdr:from>
      <xdr:col>9</xdr:col>
      <xdr:colOff>228600</xdr:colOff>
      <xdr:row>12</xdr:row>
      <xdr:rowOff>0</xdr:rowOff>
    </xdr:from>
    <xdr:to>
      <xdr:col>16</xdr:col>
      <xdr:colOff>9525</xdr:colOff>
      <xdr:row>39</xdr:row>
      <xdr:rowOff>142875</xdr:rowOff>
    </xdr:to>
    <xdr:graphicFrame>
      <xdr:nvGraphicFramePr>
        <xdr:cNvPr id="2" name="Chart 3"/>
        <xdr:cNvGraphicFramePr/>
      </xdr:nvGraphicFramePr>
      <xdr:xfrm>
        <a:off x="6334125" y="2162175"/>
        <a:ext cx="6286500" cy="46005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1</xdr:row>
      <xdr:rowOff>76200</xdr:rowOff>
    </xdr:from>
    <xdr:ext cx="7600950" cy="9686925"/>
    <xdr:sp>
      <xdr:nvSpPr>
        <xdr:cNvPr id="1" name="TextBox 1"/>
        <xdr:cNvSpPr txBox="1">
          <a:spLocks noChangeArrowheads="1"/>
        </xdr:cNvSpPr>
      </xdr:nvSpPr>
      <xdr:spPr>
        <a:xfrm>
          <a:off x="85725" y="238125"/>
          <a:ext cx="7600950" cy="9686925"/>
        </a:xfrm>
        <a:prstGeom prst="rect">
          <a:avLst/>
        </a:prstGeom>
        <a:solidFill>
          <a:srgbClr val="FFFFFF"/>
        </a:solidFill>
        <a:ln w="9525" cmpd="sng">
          <a:noFill/>
        </a:ln>
      </xdr:spPr>
      <xdr:txBody>
        <a:bodyPr vertOverflow="clip" wrap="square"/>
        <a:p>
          <a:pPr algn="l">
            <a:defRPr/>
          </a:pPr>
          <a:r>
            <a:rPr lang="en-US" cap="none" sz="1000" b="1" i="0" u="sng" baseline="0">
              <a:latin typeface="Tahoma"/>
              <a:ea typeface="Tahoma"/>
              <a:cs typeface="Tahoma"/>
            </a:rPr>
            <a:t>
  KEIHIN NEEDLE SELECTIONS- PWK </a:t>
          </a:r>
          <a:r>
            <a:rPr lang="en-US" cap="none" sz="1000" b="1" i="0" u="none" baseline="0">
              <a:latin typeface="Tahoma"/>
              <a:ea typeface="Tahoma"/>
              <a:cs typeface="Tahoma"/>
            </a:rPr>
            <a:t>
A REDUCED SET OF THE AVAILABLE NEEDLES IS SHOWN HERE TO HELP NARROW YOUR SEARCH.
The three letter needles listed below, Bxx Cxx Dxx, are available from aftermarket sources, Sudco and Carb Parts Warehouse. These are brass needles. The other needles shown are available only from the motorcycle manufacturers. These R1xxxx needles are made with a hard coated aluminum surface. The R11xx are common to KDX models, R13xx are most common to CR250 models, and R14xx have been used in the RM250. Nxxx needles need to be compared to these in the spreadsheet graphs. Colors have been added for visual aid only, selection will depend on your current setting.
</a:t>
          </a:r>
          <a:r>
            <a:rPr lang="en-US" cap="none" sz="1000" b="1" i="0" u="sng" baseline="0">
              <a:latin typeface="Tahoma"/>
              <a:ea typeface="Tahoma"/>
              <a:cs typeface="Tahoma"/>
            </a:rPr>
            <a:t>THE FOLLOWING </a:t>
          </a:r>
          <a:r>
            <a:rPr lang="en-US" cap="none" sz="1000" b="1" i="0" u="sng" baseline="0">
              <a:solidFill>
                <a:srgbClr val="FF0000"/>
              </a:solidFill>
              <a:latin typeface="Tahoma"/>
              <a:ea typeface="Tahoma"/>
              <a:cs typeface="Tahoma"/>
            </a:rPr>
            <a:t>Bxx AND R11xxx NEEDLES ARE LEAN  ½ TO ¾ THROTTLE-</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Rich  </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&lt;-----</a:t>
          </a:r>
          <a:r>
            <a:rPr lang="en-US" cap="none" sz="1000" b="1" i="0" u="none" baseline="0">
              <a:solidFill>
                <a:srgbClr val="008000"/>
              </a:solidFill>
              <a:latin typeface="Tahoma"/>
              <a:ea typeface="Tahoma"/>
              <a:cs typeface="Tahoma"/>
            </a:rPr>
            <a:t>-----</a:t>
          </a:r>
          <a:r>
            <a:rPr lang="en-US" cap="none" sz="1000" b="1" i="0" u="none" baseline="0">
              <a:latin typeface="Tahoma"/>
              <a:ea typeface="Tahoma"/>
              <a:cs typeface="Tahoma"/>
            </a:rPr>
            <a:t>    1/8 Throttle Jetting   </a:t>
          </a:r>
          <a:r>
            <a:rPr lang="en-US" cap="none" sz="1000" b="1" i="0" u="none" baseline="0">
              <a:solidFill>
                <a:srgbClr val="008000"/>
              </a:solidFill>
              <a:latin typeface="Tahoma"/>
              <a:ea typeface="Tahoma"/>
              <a:cs typeface="Tahoma"/>
            </a:rPr>
            <a:t>-----</a:t>
          </a:r>
          <a:r>
            <a:rPr lang="en-US" cap="none" sz="1000" b="1" i="0" u="none" baseline="0">
              <a:solidFill>
                <a:srgbClr val="FF0000"/>
              </a:solidFill>
              <a:latin typeface="Tahoma"/>
              <a:ea typeface="Tahoma"/>
              <a:cs typeface="Tahoma"/>
            </a:rPr>
            <a:t>-----&gt;</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Lean </a:t>
          </a:r>
          <a:r>
            <a:rPr lang="en-US" cap="none" sz="1000" b="1" i="0" u="none" baseline="0">
              <a:latin typeface="Tahoma"/>
              <a:ea typeface="Tahoma"/>
              <a:cs typeface="Tahoma"/>
            </a:rPr>
            <a:t>
______________________________________________________________________________________
  1/4 - 1/2 Throttle</a:t>
          </a:r>
          <a:r>
            <a:rPr lang="en-US" cap="none" sz="1000" b="1" i="0" u="none" baseline="0">
              <a:solidFill>
                <a:srgbClr val="0000FF"/>
              </a:solidFill>
              <a:latin typeface="Tahoma"/>
              <a:ea typeface="Tahoma"/>
              <a:cs typeface="Tahoma"/>
            </a:rPr>
            <a:t> Rich</a:t>
          </a:r>
          <a:r>
            <a:rPr lang="en-US" cap="none" sz="1000" b="1" i="0" u="none" baseline="0">
              <a:latin typeface="Tahoma"/>
              <a:ea typeface="Tahoma"/>
              <a:cs typeface="Tahoma"/>
            </a:rPr>
            <a:t> (Clip position)
      </a:t>
          </a:r>
          <a:r>
            <a:rPr lang="en-US" cap="none" sz="1000" b="1" i="0" u="none" baseline="0">
              <a:solidFill>
                <a:srgbClr val="0000FF"/>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BEJ        </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BEL        BEM   </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BEN        BEP</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 </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BGJ   </a:t>
          </a:r>
          <a:r>
            <a:rPr lang="en-US" cap="none" sz="1000" b="1" i="0" u="none" baseline="0">
              <a:solidFill>
                <a:srgbClr val="008000"/>
              </a:solidFill>
              <a:latin typeface="Tahoma"/>
              <a:ea typeface="Tahoma"/>
              <a:cs typeface="Tahoma"/>
            </a:rPr>
            <a:t>                    BGL     </a:t>
          </a:r>
          <a:r>
            <a:rPr lang="en-US" cap="none" sz="1000" b="1" i="0" u="none" baseline="0">
              <a:solidFill>
                <a:srgbClr val="FF0000"/>
              </a:solidFill>
              <a:latin typeface="Tahoma"/>
              <a:ea typeface="Tahoma"/>
              <a:cs typeface="Tahoma"/>
            </a:rPr>
            <a:t>   BGM        BGN        BGP</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a:t>
          </a:r>
          <a:r>
            <a:rPr lang="en-US" cap="none" sz="1000" b="1" i="0" u="none" baseline="0">
              <a:latin typeface="Tahoma"/>
              <a:ea typeface="Tahoma"/>
              <a:cs typeface="Tahoma"/>
            </a:rPr>
            <a:t>                                                                                          R1170N   R1171N   R1172N   R1173N
     </a:t>
          </a:r>
          <a:r>
            <a:rPr lang="en-US" cap="none" sz="1000" b="1" i="0" u="none" baseline="0">
              <a:solidFill>
                <a:srgbClr val="FF0000"/>
              </a:solidFill>
              <a:latin typeface="Tahoma"/>
              <a:ea typeface="Tahoma"/>
              <a:cs typeface="Tahoma"/>
            </a:rPr>
            <a:t> | </a:t>
          </a:r>
          <a:r>
            <a:rPr lang="en-US" cap="none" sz="1000" b="1" i="0" u="none" baseline="0">
              <a:latin typeface="Tahoma"/>
              <a:ea typeface="Tahoma"/>
              <a:cs typeface="Tahoma"/>
            </a:rPr>
            <a:t>                                                                                                                   (Kawasaki KDX200/220)
      </a:t>
          </a:r>
          <a:r>
            <a:rPr lang="en-US" cap="none" sz="1000" b="1" i="0" u="none" baseline="0">
              <a:solidFill>
                <a:srgbClr val="FF0000"/>
              </a:solidFill>
              <a:latin typeface="Tahoma"/>
              <a:ea typeface="Tahoma"/>
              <a:cs typeface="Tahoma"/>
            </a:rPr>
            <a:t>|</a:t>
          </a:r>
          <a:r>
            <a:rPr lang="en-US" cap="none" sz="1000" b="1" i="0" u="none" baseline="0">
              <a:latin typeface="Tahoma"/>
              <a:ea typeface="Tahoma"/>
              <a:cs typeface="Tahoma"/>
            </a:rPr>
            <a:t>
 1/4 - 1/2 Throttle</a:t>
          </a:r>
          <a:r>
            <a:rPr lang="en-US" cap="none" sz="1000" b="1" i="0" u="none" baseline="0">
              <a:solidFill>
                <a:srgbClr val="FF0000"/>
              </a:solidFill>
              <a:latin typeface="Tahoma"/>
              <a:ea typeface="Tahoma"/>
              <a:cs typeface="Tahoma"/>
            </a:rPr>
            <a:t> Lean</a:t>
          </a:r>
          <a:r>
            <a:rPr lang="en-US" cap="none" sz="1000" b="1" i="0" u="none" baseline="0">
              <a:latin typeface="Tahoma"/>
              <a:ea typeface="Tahoma"/>
              <a:cs typeface="Tahoma"/>
            </a:rPr>
            <a:t>
______________________________________________________________________________________ 
 </a:t>
          </a:r>
          <a:r>
            <a:rPr lang="en-US" cap="none" sz="1000" b="1" i="0" u="sng" baseline="0">
              <a:latin typeface="Tahoma"/>
              <a:ea typeface="Tahoma"/>
              <a:cs typeface="Tahoma"/>
            </a:rPr>
            <a:t>THE FOLLOWING </a:t>
          </a:r>
          <a:r>
            <a:rPr lang="en-US" cap="none" sz="1000" b="1" i="0" u="sng" baseline="0">
              <a:solidFill>
                <a:srgbClr val="008000"/>
              </a:solidFill>
              <a:latin typeface="Tahoma"/>
              <a:ea typeface="Tahoma"/>
              <a:cs typeface="Tahoma"/>
            </a:rPr>
            <a:t>Cxx NEEDLES ARE “STANDARD” JETTING  ½ TO ¾ THROTTLE-</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Rich   </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&lt;-----</a:t>
          </a:r>
          <a:r>
            <a:rPr lang="en-US" cap="none" sz="1000" b="1" i="0" u="none" baseline="0">
              <a:solidFill>
                <a:srgbClr val="008000"/>
              </a:solidFill>
              <a:latin typeface="Tahoma"/>
              <a:ea typeface="Tahoma"/>
              <a:cs typeface="Tahoma"/>
            </a:rPr>
            <a:t>-----</a:t>
          </a:r>
          <a:r>
            <a:rPr lang="en-US" cap="none" sz="1000" b="1" i="0" u="none" baseline="0">
              <a:latin typeface="Tahoma"/>
              <a:ea typeface="Tahoma"/>
              <a:cs typeface="Tahoma"/>
            </a:rPr>
            <a:t>    1/8 Throttle Jetting   </a:t>
          </a:r>
          <a:r>
            <a:rPr lang="en-US" cap="none" sz="1000" b="1" i="0" u="none" baseline="0">
              <a:solidFill>
                <a:srgbClr val="008000"/>
              </a:solidFill>
              <a:latin typeface="Tahoma"/>
              <a:ea typeface="Tahoma"/>
              <a:cs typeface="Tahoma"/>
            </a:rPr>
            <a:t>-----</a:t>
          </a:r>
          <a:r>
            <a:rPr lang="en-US" cap="none" sz="1000" b="1" i="0" u="none" baseline="0">
              <a:solidFill>
                <a:srgbClr val="FF0000"/>
              </a:solidFill>
              <a:latin typeface="Tahoma"/>
              <a:ea typeface="Tahoma"/>
              <a:cs typeface="Tahoma"/>
            </a:rPr>
            <a:t>-----&gt;</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Lean </a:t>
          </a:r>
          <a:r>
            <a:rPr lang="en-US" cap="none" sz="1000" b="1" i="0" u="none" baseline="0">
              <a:latin typeface="Tahoma"/>
              <a:ea typeface="Tahoma"/>
              <a:cs typeface="Tahoma"/>
            </a:rPr>
            <a:t>
______________________________________________________________________________________ 
 1/4 - 1/2 Throttle</a:t>
          </a:r>
          <a:r>
            <a:rPr lang="en-US" cap="none" sz="1000" b="1" i="0" u="none" baseline="0">
              <a:solidFill>
                <a:srgbClr val="0000FF"/>
              </a:solidFill>
              <a:latin typeface="Tahoma"/>
              <a:ea typeface="Tahoma"/>
              <a:cs typeface="Tahoma"/>
            </a:rPr>
            <a:t> Rich </a:t>
          </a:r>
          <a:r>
            <a:rPr lang="en-US" cap="none" sz="1000" b="1" i="0" u="none" baseline="0">
              <a:latin typeface="Tahoma"/>
              <a:ea typeface="Tahoma"/>
              <a:cs typeface="Tahoma"/>
            </a:rPr>
            <a:t>(Clip position)
      </a:t>
          </a:r>
          <a:r>
            <a:rPr lang="en-US" cap="none" sz="1000" b="1" i="0" u="none" baseline="0">
              <a:solidFill>
                <a:srgbClr val="0000FF"/>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CCG        CCH        CCJ  </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CCK             CCL           CCM   </a:t>
          </a:r>
          <a:r>
            <a:rPr lang="en-US" cap="none" sz="1000" b="1" i="0" u="none" baseline="0">
              <a:solidFill>
                <a:srgbClr val="0000FF"/>
              </a:solidFill>
              <a:latin typeface="Tahoma"/>
              <a:ea typeface="Tahoma"/>
              <a:cs typeface="Tahoma"/>
            </a:rPr>
            <a:t>  </a:t>
          </a:r>
          <a:r>
            <a:rPr lang="en-US" cap="none" sz="1000" b="1" i="0" u="none" baseline="0">
              <a:solidFill>
                <a:srgbClr val="FF0000"/>
              </a:solidFill>
              <a:latin typeface="Tahoma"/>
              <a:ea typeface="Tahoma"/>
              <a:cs typeface="Tahoma"/>
            </a:rPr>
            <a:t>      CCN</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a:t>
          </a:r>
          <a:r>
            <a:rPr lang="en-US" cap="none" sz="1000" b="1" i="0" u="none" baseline="0">
              <a:latin typeface="Tahoma"/>
              <a:ea typeface="Tahoma"/>
              <a:cs typeface="Tahoma"/>
            </a:rPr>
            <a:t>                                                  R1368EKA  R1369EKA  R1370EKA  R1371EKA  (Same as CC- needle above)
      </a:t>
          </a:r>
          <a:r>
            <a:rPr lang="en-US" cap="none" sz="1000" b="1" i="0" u="none" baseline="0">
              <a:solidFill>
                <a:srgbClr val="008000"/>
              </a:solidFill>
              <a:latin typeface="Tahoma"/>
              <a:ea typeface="Tahoma"/>
              <a:cs typeface="Tahoma"/>
            </a:rPr>
            <a:t>| </a:t>
          </a:r>
          <a:r>
            <a:rPr lang="en-US" cap="none" sz="1000" b="1" i="0" u="none" baseline="0">
              <a:latin typeface="Tahoma"/>
              <a:ea typeface="Tahoma"/>
              <a:cs typeface="Tahoma"/>
            </a:rPr>
            <a:t>                                                                                                                                ('98 Honda CR250)
     </a:t>
          </a:r>
          <a:r>
            <a:rPr lang="en-US" cap="none" sz="1000" b="1" i="0" u="none" baseline="0">
              <a:solidFill>
                <a:srgbClr val="008000"/>
              </a:solidFill>
              <a:latin typeface="Tahoma"/>
              <a:ea typeface="Tahoma"/>
              <a:cs typeface="Tahoma"/>
            </a:rPr>
            <a:t> | </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CEG          </a:t>
          </a:r>
          <a:r>
            <a:rPr lang="en-US" cap="none" sz="1000" b="1" i="0" u="none" baseline="0">
              <a:latin typeface="Tahoma"/>
              <a:ea typeface="Tahoma"/>
              <a:cs typeface="Tahoma"/>
            </a:rPr>
            <a:t>         </a:t>
          </a:r>
          <a:r>
            <a:rPr lang="en-US" cap="none" sz="1000" b="1" i="0" u="none" baseline="0">
              <a:solidFill>
                <a:srgbClr val="339966"/>
              </a:solidFill>
              <a:latin typeface="Tahoma"/>
              <a:ea typeface="Tahoma"/>
              <a:cs typeface="Tahoma"/>
            </a:rPr>
            <a:t> </a:t>
          </a:r>
          <a:r>
            <a:rPr lang="en-US" cap="none" sz="1000" b="1" i="0" u="none" baseline="0">
              <a:solidFill>
                <a:srgbClr val="008000"/>
              </a:solidFill>
              <a:latin typeface="Tahoma"/>
              <a:ea typeface="Tahoma"/>
              <a:cs typeface="Tahoma"/>
            </a:rPr>
            <a:t>   CEJ             CEK            CEL  </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CEM           CEN</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a:t>
          </a:r>
          <a:r>
            <a:rPr lang="en-US" cap="none" sz="1000" b="1" i="0" u="none" baseline="0">
              <a:latin typeface="Tahoma"/>
              <a:ea typeface="Tahoma"/>
              <a:cs typeface="Tahoma"/>
            </a:rPr>
            <a:t>                                     R1367LS   R1368LS   R1369L    R1370LS    R1371LS
     </a:t>
          </a:r>
          <a:r>
            <a:rPr lang="en-US" cap="none" sz="1000" b="1" i="0" u="none" baseline="0">
              <a:solidFill>
                <a:srgbClr val="008000"/>
              </a:solidFill>
              <a:latin typeface="Tahoma"/>
              <a:ea typeface="Tahoma"/>
              <a:cs typeface="Tahoma"/>
            </a:rPr>
            <a:t> |</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CGG    </a:t>
          </a:r>
          <a:r>
            <a:rPr lang="en-US" cap="none" sz="1000" b="1" i="0" u="none" baseline="0">
              <a:solidFill>
                <a:srgbClr val="008000"/>
              </a:solidFill>
              <a:latin typeface="Tahoma"/>
              <a:ea typeface="Tahoma"/>
              <a:cs typeface="Tahoma"/>
            </a:rPr>
            <a:t>    CGH        CGJ           CGK         </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CGL           CGM           CGN</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a:t>
          </a:r>
          <a:r>
            <a:rPr lang="en-US" cap="none" sz="1000" b="1" i="0" u="none" baseline="0">
              <a:latin typeface="Tahoma"/>
              <a:ea typeface="Tahoma"/>
              <a:cs typeface="Tahoma"/>
            </a:rPr>
            <a:t>                                     R1367NS  R1368NS   R1369NS   R1370NS   R1371NS (Same as CG- needle above)  
     </a:t>
          </a:r>
          <a:r>
            <a:rPr lang="en-US" cap="none" sz="1000" b="1" i="0" u="none" baseline="0">
              <a:solidFill>
                <a:srgbClr val="FF0000"/>
              </a:solidFill>
              <a:latin typeface="Tahoma"/>
              <a:ea typeface="Tahoma"/>
              <a:cs typeface="Tahoma"/>
            </a:rPr>
            <a:t> |</a:t>
          </a:r>
          <a:r>
            <a:rPr lang="en-US" cap="none" sz="1000" b="1" i="0" u="none" baseline="0">
              <a:latin typeface="Tahoma"/>
              <a:ea typeface="Tahoma"/>
              <a:cs typeface="Tahoma"/>
            </a:rPr>
            <a:t>                                                                                                                        ('94-'97 Honda CR250 needles)
 1/4 - 1/2 Throttle</a:t>
          </a:r>
          <a:r>
            <a:rPr lang="en-US" cap="none" sz="1000" b="1" i="0" u="none" baseline="0">
              <a:solidFill>
                <a:srgbClr val="FF0000"/>
              </a:solidFill>
              <a:latin typeface="Tahoma"/>
              <a:ea typeface="Tahoma"/>
              <a:cs typeface="Tahoma"/>
            </a:rPr>
            <a:t> Lean</a:t>
          </a:r>
          <a:r>
            <a:rPr lang="en-US" cap="none" sz="1000" b="1" i="0" u="none" baseline="0">
              <a:latin typeface="Tahoma"/>
              <a:ea typeface="Tahoma"/>
              <a:cs typeface="Tahoma"/>
            </a:rPr>
            <a:t>
______________________________________________________________________________________ 
  </a:t>
          </a:r>
          <a:r>
            <a:rPr lang="en-US" cap="none" sz="1000" b="1" i="0" u="sng" baseline="0">
              <a:latin typeface="Tahoma"/>
              <a:ea typeface="Tahoma"/>
              <a:cs typeface="Tahoma"/>
            </a:rPr>
            <a:t>THE FOLLOWING </a:t>
          </a:r>
          <a:r>
            <a:rPr lang="en-US" cap="none" sz="1000" b="1" i="0" u="sng" baseline="0">
              <a:solidFill>
                <a:srgbClr val="0000FF"/>
              </a:solidFill>
              <a:latin typeface="Tahoma"/>
              <a:ea typeface="Tahoma"/>
              <a:cs typeface="Tahoma"/>
            </a:rPr>
            <a:t>Dxx NEEDLES ARE MORE RICH  ½ TO ¾ THROTTLE-</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Rich       &lt;-----</a:t>
          </a:r>
          <a:r>
            <a:rPr lang="en-US" cap="none" sz="1000" b="1" i="0" u="none" baseline="0">
              <a:solidFill>
                <a:srgbClr val="008000"/>
              </a:solidFill>
              <a:latin typeface="Tahoma"/>
              <a:ea typeface="Tahoma"/>
              <a:cs typeface="Tahoma"/>
            </a:rPr>
            <a:t>----- </a:t>
          </a:r>
          <a:r>
            <a:rPr lang="en-US" cap="none" sz="1000" b="1" i="0" u="none" baseline="0">
              <a:latin typeface="Tahoma"/>
              <a:ea typeface="Tahoma"/>
              <a:cs typeface="Tahoma"/>
            </a:rPr>
            <a:t>   1/8 Throttle Jetting  </a:t>
          </a:r>
          <a:r>
            <a:rPr lang="en-US" cap="none" sz="1000" b="1" i="0" u="none" baseline="0">
              <a:solidFill>
                <a:srgbClr val="008000"/>
              </a:solidFill>
              <a:latin typeface="Tahoma"/>
              <a:ea typeface="Tahoma"/>
              <a:cs typeface="Tahoma"/>
            </a:rPr>
            <a:t> -----</a:t>
          </a:r>
          <a:r>
            <a:rPr lang="en-US" cap="none" sz="1000" b="1" i="0" u="none" baseline="0">
              <a:solidFill>
                <a:srgbClr val="FF0000"/>
              </a:solidFill>
              <a:latin typeface="Tahoma"/>
              <a:ea typeface="Tahoma"/>
              <a:cs typeface="Tahoma"/>
            </a:rPr>
            <a:t>-----&gt;        Lean</a:t>
          </a:r>
          <a:r>
            <a:rPr lang="en-US" cap="none" sz="1000" b="1" i="0" u="none" baseline="0">
              <a:latin typeface="Tahoma"/>
              <a:ea typeface="Tahoma"/>
              <a:cs typeface="Tahoma"/>
            </a:rPr>
            <a:t>
______________________________________________________________________________________ 
 1/4 - 1/2 Throttle</a:t>
          </a:r>
          <a:r>
            <a:rPr lang="en-US" cap="none" sz="1000" b="1" i="0" u="none" baseline="0">
              <a:solidFill>
                <a:srgbClr val="0000FF"/>
              </a:solidFill>
              <a:latin typeface="Tahoma"/>
              <a:ea typeface="Tahoma"/>
              <a:cs typeface="Tahoma"/>
            </a:rPr>
            <a:t> Rich</a:t>
          </a:r>
          <a:r>
            <a:rPr lang="en-US" cap="none" sz="1000" b="1" i="0" u="none" baseline="0">
              <a:latin typeface="Tahoma"/>
              <a:ea typeface="Tahoma"/>
              <a:cs typeface="Tahoma"/>
            </a:rPr>
            <a:t> (Clip position)
      </a:t>
          </a:r>
          <a:r>
            <a:rPr lang="en-US" cap="none" sz="1000" b="1" i="0" u="none" baseline="0">
              <a:solidFill>
                <a:srgbClr val="0000FF"/>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    DCH        DCJ   </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DCK             DCL</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DDJ            DDK           </a:t>
          </a:r>
          <a:r>
            <a:rPr lang="en-US" cap="none" sz="1000" b="1" i="0" u="none" baseline="0">
              <a:solidFill>
                <a:srgbClr val="FF0000"/>
              </a:solidFill>
              <a:latin typeface="Tahoma"/>
              <a:ea typeface="Tahoma"/>
              <a:cs typeface="Tahoma"/>
            </a:rPr>
            <a:t>  DDL</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DEJ             DEK   </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DEL</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a:t>
          </a:r>
          <a:r>
            <a:rPr lang="en-US" cap="none" sz="1000" b="1" i="0" u="none" baseline="0">
              <a:latin typeface="Tahoma"/>
              <a:ea typeface="Tahoma"/>
              <a:cs typeface="Tahoma"/>
            </a:rPr>
            <a:t>                                   </a:t>
          </a:r>
          <a:r>
            <a:rPr lang="en-US" cap="none" sz="1000" b="1" i="0" u="none" baseline="0">
              <a:solidFill>
                <a:srgbClr val="008000"/>
              </a:solidFill>
              <a:latin typeface="Tahoma"/>
              <a:ea typeface="Tahoma"/>
              <a:cs typeface="Tahoma"/>
            </a:rPr>
            <a:t>     DGH        DGJ    </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DGK             DGL</a:t>
          </a:r>
          <a:r>
            <a:rPr lang="en-US" cap="none" sz="1000" b="1" i="0" u="none" baseline="0">
              <a:latin typeface="Tahoma"/>
              <a:ea typeface="Tahoma"/>
              <a:cs typeface="Tahoma"/>
            </a:rPr>
            <a:t>
     </a:t>
          </a:r>
          <a:r>
            <a:rPr lang="en-US" cap="none" sz="1000" b="1" i="0" u="none" baseline="0">
              <a:solidFill>
                <a:srgbClr val="FF0000"/>
              </a:solidFill>
              <a:latin typeface="Tahoma"/>
              <a:ea typeface="Tahoma"/>
              <a:cs typeface="Tahoma"/>
            </a:rPr>
            <a:t> |</a:t>
          </a:r>
          <a:r>
            <a:rPr lang="en-US" cap="none" sz="1000" b="1" i="0" u="none" baseline="0">
              <a:latin typeface="Tahoma"/>
              <a:ea typeface="Tahoma"/>
              <a:cs typeface="Tahoma"/>
            </a:rPr>
            <a:t>                                    R1467NS  R1468NS   R1469NS     R1470NS     R1471NS (Same as DG- needle above)  
     </a:t>
          </a:r>
          <a:r>
            <a:rPr lang="en-US" cap="none" sz="1000" b="1" i="0" u="none" baseline="0">
              <a:solidFill>
                <a:srgbClr val="FF0000"/>
              </a:solidFill>
              <a:latin typeface="Tahoma"/>
              <a:ea typeface="Tahoma"/>
              <a:cs typeface="Tahoma"/>
            </a:rPr>
            <a:t> |</a:t>
          </a:r>
          <a:r>
            <a:rPr lang="en-US" cap="none" sz="1000" b="1" i="0" u="none" baseline="0">
              <a:latin typeface="Tahoma"/>
              <a:ea typeface="Tahoma"/>
              <a:cs typeface="Tahoma"/>
            </a:rPr>
            <a:t>                                                                                                                                (Suzuki RM250)
 1/4 - 1/2 Throttle</a:t>
          </a:r>
          <a:r>
            <a:rPr lang="en-US" cap="none" sz="1000" b="1" i="0" u="none" baseline="0">
              <a:solidFill>
                <a:srgbClr val="FF0000"/>
              </a:solidFill>
              <a:latin typeface="Tahoma"/>
              <a:ea typeface="Tahoma"/>
              <a:cs typeface="Tahoma"/>
            </a:rPr>
            <a:t> Lean</a:t>
          </a:r>
          <a:r>
            <a:rPr lang="en-US" cap="none" sz="1000" b="1" i="0" u="none" baseline="0">
              <a:latin typeface="Tahoma"/>
              <a:ea typeface="Tahoma"/>
              <a:cs typeface="Tahoma"/>
            </a:rPr>
            <a:t>
______________________________________________________________________________________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76200</xdr:rowOff>
    </xdr:from>
    <xdr:ext cx="7600950" cy="9686925"/>
    <xdr:sp>
      <xdr:nvSpPr>
        <xdr:cNvPr id="1" name="TextBox 1"/>
        <xdr:cNvSpPr txBox="1">
          <a:spLocks noChangeArrowheads="1"/>
        </xdr:cNvSpPr>
      </xdr:nvSpPr>
      <xdr:spPr>
        <a:xfrm>
          <a:off x="114300" y="238125"/>
          <a:ext cx="7600950" cy="9686925"/>
        </a:xfrm>
        <a:prstGeom prst="rect">
          <a:avLst/>
        </a:prstGeom>
        <a:solidFill>
          <a:srgbClr val="FFFFFF"/>
        </a:solidFill>
        <a:ln w="9525" cmpd="sng">
          <a:noFill/>
        </a:ln>
      </xdr:spPr>
      <xdr:txBody>
        <a:bodyPr vertOverflow="clip" wrap="square"/>
        <a:p>
          <a:pPr algn="l">
            <a:defRPr/>
          </a:pPr>
          <a:r>
            <a:rPr lang="en-US" cap="none" sz="1000" b="1" i="0" u="none" baseline="0">
              <a:latin typeface="Tahoma"/>
              <a:ea typeface="Tahoma"/>
              <a:cs typeface="Tahoma"/>
            </a:rPr>
            <a:t>
</a:t>
          </a:r>
          <a:r>
            <a:rPr lang="en-US" cap="none" sz="1000" b="1" i="0" u="sng" baseline="0">
              <a:latin typeface="Tahoma"/>
              <a:ea typeface="Tahoma"/>
              <a:cs typeface="Tahoma"/>
            </a:rPr>
            <a:t>  KEIHIN NEEDLE SELECTIONS- FCR </a:t>
          </a:r>
          <a:r>
            <a:rPr lang="en-US" cap="none" sz="1000" b="1" i="0" u="none" baseline="0">
              <a:latin typeface="Tahoma"/>
              <a:ea typeface="Tahoma"/>
              <a:cs typeface="Tahoma"/>
            </a:rPr>
            <a:t>
A REDUCED SET OF THE AVAILABLE NEEDLES IS SHOWN HERE TO HELP NARROW YOUR SEARCH.
The OBxxx needles listed below are available from Yamaha. The OCxxx needles are aftermarket. Honda, KTM, and Suzuki also have a few of the OBxxx needles listed. The OCxxx needles are brass and OBxxx needles are a hard coated aluminum. Yamaha parts numbers are below. Colors have been added for visual aid only, selection will depend on your current setting.
THE FOLLOWING </a:t>
          </a:r>
          <a:r>
            <a:rPr lang="en-US" cap="none" sz="1000" b="1" i="0" u="none" baseline="0">
              <a:solidFill>
                <a:srgbClr val="FF0000"/>
              </a:solidFill>
              <a:latin typeface="Tahoma"/>
              <a:ea typeface="Tahoma"/>
              <a:cs typeface="Tahoma"/>
            </a:rPr>
            <a:t>Dxx NEEDLES ARE MORE LEAN  ½ TO ¾ THROTTLE-</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Rich </a:t>
          </a:r>
          <a:r>
            <a:rPr lang="en-US" cap="none" sz="1000" b="1" i="0" u="none" baseline="0">
              <a:latin typeface="Tahoma"/>
              <a:ea typeface="Tahoma"/>
              <a:cs typeface="Tahoma"/>
            </a:rPr>
            <a:t>      &lt;----------    1/8 Throttle Jetting   ----------&gt;       </a:t>
          </a:r>
          <a:r>
            <a:rPr lang="en-US" cap="none" sz="1000" b="1" i="0" u="none" baseline="0">
              <a:solidFill>
                <a:srgbClr val="FF0000"/>
              </a:solidFill>
              <a:latin typeface="Tahoma"/>
              <a:ea typeface="Tahoma"/>
              <a:cs typeface="Tahoma"/>
            </a:rPr>
            <a:t> Lean </a:t>
          </a:r>
          <a:r>
            <a:rPr lang="en-US" cap="none" sz="1000" b="1" i="0" u="none" baseline="0">
              <a:latin typeface="Tahoma"/>
              <a:ea typeface="Tahoma"/>
              <a:cs typeface="Tahoma"/>
            </a:rPr>
            <a:t>
______________________________________________________________________________________
  1/4 - 1/2 Throttle </a:t>
          </a:r>
          <a:r>
            <a:rPr lang="en-US" cap="none" sz="1000" b="1" i="0" u="none" baseline="0">
              <a:solidFill>
                <a:srgbClr val="0000FF"/>
              </a:solidFill>
              <a:latin typeface="Tahoma"/>
              <a:ea typeface="Tahoma"/>
              <a:cs typeface="Tahoma"/>
            </a:rPr>
            <a:t>Rich </a:t>
          </a:r>
          <a:r>
            <a:rPr lang="en-US" cap="none" sz="1000" b="1" i="0" u="none" baseline="0">
              <a:latin typeface="Tahoma"/>
              <a:ea typeface="Tahoma"/>
              <a:cs typeface="Tahoma"/>
            </a:rPr>
            <a:t>(Clip position)
      |
      |                                                                                                  OBDRR   OBDRS
      |                                          OBDTM    OBDTN   OBDTP
      |                                                                      OBDVP  OBDVQ    OBDVR 
      |                                          OBDXM
      |
 1/4 - 1/2 Throttle </a:t>
          </a:r>
          <a:r>
            <a:rPr lang="en-US" cap="none" sz="1000" b="1" i="0" u="none" baseline="0">
              <a:solidFill>
                <a:srgbClr val="FF0000"/>
              </a:solidFill>
              <a:latin typeface="Tahoma"/>
              <a:ea typeface="Tahoma"/>
              <a:cs typeface="Tahoma"/>
            </a:rPr>
            <a:t>Lean</a:t>
          </a:r>
          <a:r>
            <a:rPr lang="en-US" cap="none" sz="1000" b="1" i="0" u="none" baseline="0">
              <a:latin typeface="Tahoma"/>
              <a:ea typeface="Tahoma"/>
              <a:cs typeface="Tahoma"/>
            </a:rPr>
            <a:t>
______________________________________________________________________________________ 
THE FOLLOWING </a:t>
          </a:r>
          <a:r>
            <a:rPr lang="en-US" cap="none" sz="1000" b="1" i="0" u="none" baseline="0">
              <a:solidFill>
                <a:srgbClr val="008000"/>
              </a:solidFill>
              <a:latin typeface="Tahoma"/>
              <a:ea typeface="Tahoma"/>
              <a:cs typeface="Tahoma"/>
            </a:rPr>
            <a:t>Exx NEEDLES ARE KEIHIN "STANDARD” JETTING  ½ TO ¾ THROTTLE-</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Rich </a:t>
          </a:r>
          <a:r>
            <a:rPr lang="en-US" cap="none" sz="1000" b="1" i="0" u="none" baseline="0">
              <a:latin typeface="Tahoma"/>
              <a:ea typeface="Tahoma"/>
              <a:cs typeface="Tahoma"/>
            </a:rPr>
            <a:t>      &lt;----------    1/8 Throttle Jetting   ----------&gt;        </a:t>
          </a:r>
          <a:r>
            <a:rPr lang="en-US" cap="none" sz="1000" b="1" i="0" u="none" baseline="0">
              <a:solidFill>
                <a:srgbClr val="FF0000"/>
              </a:solidFill>
              <a:latin typeface="Tahoma"/>
              <a:ea typeface="Tahoma"/>
              <a:cs typeface="Tahoma"/>
            </a:rPr>
            <a:t>Lean </a:t>
          </a:r>
          <a:r>
            <a:rPr lang="en-US" cap="none" sz="1000" b="1" i="0" u="none" baseline="0">
              <a:latin typeface="Tahoma"/>
              <a:ea typeface="Tahoma"/>
              <a:cs typeface="Tahoma"/>
            </a:rPr>
            <a:t>
______________________________________________________________________________________ 
 1/4 - 1/2 Throttle </a:t>
          </a:r>
          <a:r>
            <a:rPr lang="en-US" cap="none" sz="1000" b="1" i="0" u="none" baseline="0">
              <a:solidFill>
                <a:srgbClr val="0000FF"/>
              </a:solidFill>
              <a:latin typeface="Tahoma"/>
              <a:ea typeface="Tahoma"/>
              <a:cs typeface="Tahoma"/>
            </a:rPr>
            <a:t>Rich </a:t>
          </a:r>
          <a:r>
            <a:rPr lang="en-US" cap="none" sz="1000" b="1" i="0" u="none" baseline="0">
              <a:latin typeface="Tahoma"/>
              <a:ea typeface="Tahoma"/>
              <a:cs typeface="Tahoma"/>
            </a:rPr>
            <a:t>(Clip position)
      |
      |                                           OBEJM    OBEJN    </a:t>
          </a:r>
          <a:r>
            <a:rPr lang="en-US" cap="none" sz="1000" b="1" i="0" u="none" baseline="0">
              <a:solidFill>
                <a:srgbClr val="008000"/>
              </a:solidFill>
              <a:latin typeface="Tahoma"/>
              <a:ea typeface="Tahoma"/>
              <a:cs typeface="Tahoma"/>
            </a:rPr>
            <a:t>OBEJP     OBEJQ</a:t>
          </a:r>
          <a:r>
            <a:rPr lang="en-US" cap="none" sz="1000" b="1" i="0" u="none" baseline="0">
              <a:latin typeface="Tahoma"/>
              <a:ea typeface="Tahoma"/>
              <a:cs typeface="Tahoma"/>
            </a:rPr>
            <a:t>
      |                                           OBEKM   </a:t>
          </a:r>
          <a:r>
            <a:rPr lang="en-US" cap="none" sz="1000" b="1" i="0" u="none" baseline="0">
              <a:solidFill>
                <a:srgbClr val="008000"/>
              </a:solidFill>
              <a:latin typeface="Tahoma"/>
              <a:ea typeface="Tahoma"/>
              <a:cs typeface="Tahoma"/>
            </a:rPr>
            <a:t>OBEKN    OBEKP    OBEKQ   </a:t>
          </a:r>
          <a:r>
            <a:rPr lang="en-US" cap="none" sz="1000" b="1" i="0" u="none" baseline="0">
              <a:latin typeface="Tahoma"/>
              <a:ea typeface="Tahoma"/>
              <a:cs typeface="Tahoma"/>
            </a:rPr>
            <a:t> OBEKR
      |                                           </a:t>
          </a:r>
          <a:r>
            <a:rPr lang="en-US" cap="none" sz="1000" b="1" i="0" u="none" baseline="0">
              <a:solidFill>
                <a:srgbClr val="008000"/>
              </a:solidFill>
              <a:latin typeface="Tahoma"/>
              <a:ea typeface="Tahoma"/>
              <a:cs typeface="Tahoma"/>
            </a:rPr>
            <a:t>OBELM    OBELN    OBELP</a:t>
          </a:r>
          <a:r>
            <a:rPr lang="en-US" cap="none" sz="1000" b="1" i="0" u="none" baseline="0">
              <a:latin typeface="Tahoma"/>
              <a:ea typeface="Tahoma"/>
              <a:cs typeface="Tahoma"/>
            </a:rPr>
            <a:t>    OBELQ
      |                           OCEML    </a:t>
          </a:r>
          <a:r>
            <a:rPr lang="en-US" cap="none" sz="1000" b="1" i="0" u="none" baseline="0">
              <a:solidFill>
                <a:srgbClr val="008000"/>
              </a:solidFill>
              <a:latin typeface="Tahoma"/>
              <a:ea typeface="Tahoma"/>
              <a:cs typeface="Tahoma"/>
            </a:rPr>
            <a:t>OCEMM    OCEMN  OCEMP </a:t>
          </a:r>
          <a:r>
            <a:rPr lang="en-US" cap="none" sz="1000" b="1" i="0" u="none" baseline="0">
              <a:latin typeface="Tahoma"/>
              <a:ea typeface="Tahoma"/>
              <a:cs typeface="Tahoma"/>
            </a:rPr>
            <a:t>                 OCEMR
      |
 1/4 - 1/2 Throttle </a:t>
          </a:r>
          <a:r>
            <a:rPr lang="en-US" cap="none" sz="1000" b="1" i="0" u="none" baseline="0">
              <a:solidFill>
                <a:srgbClr val="008000"/>
              </a:solidFill>
              <a:latin typeface="Tahoma"/>
              <a:ea typeface="Tahoma"/>
              <a:cs typeface="Tahoma"/>
            </a:rPr>
            <a:t>Lean</a:t>
          </a:r>
          <a:r>
            <a:rPr lang="en-US" cap="none" sz="1000" b="1" i="0" u="none" baseline="0">
              <a:latin typeface="Tahoma"/>
              <a:ea typeface="Tahoma"/>
              <a:cs typeface="Tahoma"/>
            </a:rPr>
            <a:t>
______________________________________________________________________________________ 
  THE FOLLOWING </a:t>
          </a:r>
          <a:r>
            <a:rPr lang="en-US" cap="none" sz="1000" b="1" i="0" u="none" baseline="0">
              <a:solidFill>
                <a:srgbClr val="0000FF"/>
              </a:solidFill>
              <a:latin typeface="Tahoma"/>
              <a:ea typeface="Tahoma"/>
              <a:cs typeface="Tahoma"/>
            </a:rPr>
            <a:t>Fxx NEEDLES ARE MORE RICH  ½ TO ¾ THROTTLE-</a:t>
          </a:r>
          <a:r>
            <a:rPr lang="en-US" cap="none" sz="1000" b="1" i="0" u="none" baseline="0">
              <a:latin typeface="Tahoma"/>
              <a:ea typeface="Tahoma"/>
              <a:cs typeface="Tahoma"/>
            </a:rPr>
            <a:t>
                                     </a:t>
          </a:r>
          <a:r>
            <a:rPr lang="en-US" cap="none" sz="1000" b="1" i="0" u="none" baseline="0">
              <a:solidFill>
                <a:srgbClr val="0000FF"/>
              </a:solidFill>
              <a:latin typeface="Tahoma"/>
              <a:ea typeface="Tahoma"/>
              <a:cs typeface="Tahoma"/>
            </a:rPr>
            <a:t>Rich </a:t>
          </a:r>
          <a:r>
            <a:rPr lang="en-US" cap="none" sz="1000" b="1" i="0" u="none" baseline="0">
              <a:latin typeface="Tahoma"/>
              <a:ea typeface="Tahoma"/>
              <a:cs typeface="Tahoma"/>
            </a:rPr>
            <a:t>      &lt;----------    1/8 Throttle Jetting   ----------&gt;        </a:t>
          </a:r>
          <a:r>
            <a:rPr lang="en-US" cap="none" sz="1000" b="1" i="0" u="none" baseline="0">
              <a:solidFill>
                <a:srgbClr val="FF0000"/>
              </a:solidFill>
              <a:latin typeface="Tahoma"/>
              <a:ea typeface="Tahoma"/>
              <a:cs typeface="Tahoma"/>
            </a:rPr>
            <a:t>Lean</a:t>
          </a:r>
          <a:r>
            <a:rPr lang="en-US" cap="none" sz="1000" b="1" i="0" u="none" baseline="0">
              <a:latin typeface="Tahoma"/>
              <a:ea typeface="Tahoma"/>
              <a:cs typeface="Tahoma"/>
            </a:rPr>
            <a:t>
______________________________________________________________________________________ 
 1/4 - 1/2 Throttle </a:t>
          </a:r>
          <a:r>
            <a:rPr lang="en-US" cap="none" sz="1000" b="1" i="0" u="none" baseline="0">
              <a:solidFill>
                <a:srgbClr val="0000FF"/>
              </a:solidFill>
              <a:latin typeface="Tahoma"/>
              <a:ea typeface="Tahoma"/>
              <a:cs typeface="Tahoma"/>
            </a:rPr>
            <a:t>Rich </a:t>
          </a:r>
          <a:r>
            <a:rPr lang="en-US" cap="none" sz="1000" b="1" i="0" u="none" baseline="0">
              <a:latin typeface="Tahoma"/>
              <a:ea typeface="Tahoma"/>
              <a:cs typeface="Tahoma"/>
            </a:rPr>
            <a:t>(Clip position)
      | 
      |                                           OCFHM   OCFHN   OCFHP                    OCFHR
      |                                           OCFKN    OCFKP                                 OCFKR
      |
 1/4 - 1/2 Throttle </a:t>
          </a:r>
          <a:r>
            <a:rPr lang="en-US" cap="none" sz="1000" b="1" i="0" u="none" baseline="0">
              <a:solidFill>
                <a:srgbClr val="FF0000"/>
              </a:solidFill>
              <a:latin typeface="Tahoma"/>
              <a:ea typeface="Tahoma"/>
              <a:cs typeface="Tahoma"/>
            </a:rPr>
            <a:t>Lean</a:t>
          </a:r>
          <a:r>
            <a:rPr lang="en-US" cap="none" sz="1000" b="1" i="0" u="none" baseline="0">
              <a:latin typeface="Tahoma"/>
              <a:ea typeface="Tahoma"/>
              <a:cs typeface="Tahoma"/>
            </a:rPr>
            <a:t>
______________________________________________________________________________________
 Yamaha part numbers decoded:
</a:t>
          </a:r>
          <a:r>
            <a:rPr lang="en-US" cap="none" sz="1000" b="1" i="0" u="sng" baseline="0">
              <a:latin typeface="Tahoma"/>
              <a:ea typeface="Tahoma"/>
              <a:cs typeface="Tahoma"/>
            </a:rPr>
            <a:t>Needle                              Part number                     Model</a:t>
          </a:r>
          <a:r>
            <a:rPr lang="en-US" cap="none" sz="1000" b="1" i="0" u="none" baseline="0">
              <a:latin typeface="Tahoma"/>
              <a:ea typeface="Tahoma"/>
              <a:cs typeface="Tahoma"/>
            </a:rPr>
            <a:t>
OBDRx                            5GS-14916-Dx                     WR426
OBDTx                            5BF-14916-Dx                      WR400
OBDVx                            5BE-14916-Dx                      YZ400
OBEJx                             5**-14916-Ex                       YZ426
OBELx                             5NL-14916-Ex                    YZ/WR250
OBEKx                             5JG-14916-Ex                    YZ426 ('00)
Call Sudco for OCxxx needles and request them by code (i.e. EMN, FHN)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476250</xdr:colOff>
      <xdr:row>3</xdr:row>
      <xdr:rowOff>76200</xdr:rowOff>
    </xdr:from>
    <xdr:to>
      <xdr:col>30</xdr:col>
      <xdr:colOff>295275</xdr:colOff>
      <xdr:row>27</xdr:row>
      <xdr:rowOff>9525</xdr:rowOff>
    </xdr:to>
    <xdr:pic>
      <xdr:nvPicPr>
        <xdr:cNvPr id="1" name="Picture 16"/>
        <xdr:cNvPicPr preferRelativeResize="1">
          <a:picLocks noChangeAspect="1"/>
        </xdr:cNvPicPr>
      </xdr:nvPicPr>
      <xdr:blipFill>
        <a:blip r:embed="rId1"/>
        <a:stretch>
          <a:fillRect/>
        </a:stretch>
      </xdr:blipFill>
      <xdr:spPr>
        <a:xfrm>
          <a:off x="12668250" y="561975"/>
          <a:ext cx="5915025" cy="3819525"/>
        </a:xfrm>
        <a:prstGeom prst="rect">
          <a:avLst/>
        </a:prstGeom>
        <a:noFill/>
        <a:ln w="9525" cmpd="sng">
          <a:noFill/>
        </a:ln>
      </xdr:spPr>
    </xdr:pic>
    <xdr:clientData/>
  </xdr:twoCellAnchor>
  <xdr:twoCellAnchor editAs="oneCell">
    <xdr:from>
      <xdr:col>20</xdr:col>
      <xdr:colOff>485775</xdr:colOff>
      <xdr:row>29</xdr:row>
      <xdr:rowOff>123825</xdr:rowOff>
    </xdr:from>
    <xdr:to>
      <xdr:col>30</xdr:col>
      <xdr:colOff>552450</xdr:colOff>
      <xdr:row>54</xdr:row>
      <xdr:rowOff>47625</xdr:rowOff>
    </xdr:to>
    <xdr:pic>
      <xdr:nvPicPr>
        <xdr:cNvPr id="2" name="Picture 17"/>
        <xdr:cNvPicPr preferRelativeResize="1">
          <a:picLocks noChangeAspect="1"/>
        </xdr:cNvPicPr>
      </xdr:nvPicPr>
      <xdr:blipFill>
        <a:blip r:embed="rId2"/>
        <a:stretch>
          <a:fillRect/>
        </a:stretch>
      </xdr:blipFill>
      <xdr:spPr>
        <a:xfrm>
          <a:off x="12677775" y="4819650"/>
          <a:ext cx="6162675" cy="3971925"/>
        </a:xfrm>
        <a:prstGeom prst="rect">
          <a:avLst/>
        </a:prstGeom>
        <a:noFill/>
        <a:ln w="9525" cmpd="sng">
          <a:noFill/>
        </a:ln>
      </xdr:spPr>
    </xdr:pic>
    <xdr:clientData/>
  </xdr:twoCellAnchor>
  <xdr:twoCellAnchor editAs="oneCell">
    <xdr:from>
      <xdr:col>20</xdr:col>
      <xdr:colOff>476250</xdr:colOff>
      <xdr:row>57</xdr:row>
      <xdr:rowOff>104775</xdr:rowOff>
    </xdr:from>
    <xdr:to>
      <xdr:col>29</xdr:col>
      <xdr:colOff>523875</xdr:colOff>
      <xdr:row>81</xdr:row>
      <xdr:rowOff>28575</xdr:rowOff>
    </xdr:to>
    <xdr:pic>
      <xdr:nvPicPr>
        <xdr:cNvPr id="3" name="Picture 18"/>
        <xdr:cNvPicPr preferRelativeResize="1">
          <a:picLocks noChangeAspect="1"/>
        </xdr:cNvPicPr>
      </xdr:nvPicPr>
      <xdr:blipFill>
        <a:blip r:embed="rId3"/>
        <a:stretch>
          <a:fillRect/>
        </a:stretch>
      </xdr:blipFill>
      <xdr:spPr>
        <a:xfrm>
          <a:off x="12668250" y="9334500"/>
          <a:ext cx="5534025" cy="3810000"/>
        </a:xfrm>
        <a:prstGeom prst="rect">
          <a:avLst/>
        </a:prstGeom>
        <a:noFill/>
        <a:ln w="9525" cmpd="sng">
          <a:noFill/>
        </a:ln>
      </xdr:spPr>
    </xdr:pic>
    <xdr:clientData/>
  </xdr:twoCellAnchor>
  <xdr:twoCellAnchor>
    <xdr:from>
      <xdr:col>0</xdr:col>
      <xdr:colOff>571500</xdr:colOff>
      <xdr:row>57</xdr:row>
      <xdr:rowOff>104775</xdr:rowOff>
    </xdr:from>
    <xdr:to>
      <xdr:col>10</xdr:col>
      <xdr:colOff>85725</xdr:colOff>
      <xdr:row>81</xdr:row>
      <xdr:rowOff>47625</xdr:rowOff>
    </xdr:to>
    <xdr:pic>
      <xdr:nvPicPr>
        <xdr:cNvPr id="4" name="Picture 29"/>
        <xdr:cNvPicPr preferRelativeResize="1">
          <a:picLocks noChangeAspect="1"/>
        </xdr:cNvPicPr>
      </xdr:nvPicPr>
      <xdr:blipFill>
        <a:blip r:embed="rId4"/>
        <a:stretch>
          <a:fillRect/>
        </a:stretch>
      </xdr:blipFill>
      <xdr:spPr>
        <a:xfrm>
          <a:off x="571500" y="9334500"/>
          <a:ext cx="5610225" cy="3829050"/>
        </a:xfrm>
        <a:prstGeom prst="rect">
          <a:avLst/>
        </a:prstGeom>
        <a:noFill/>
        <a:ln w="9525" cmpd="sng">
          <a:noFill/>
        </a:ln>
      </xdr:spPr>
    </xdr:pic>
    <xdr:clientData/>
  </xdr:twoCellAnchor>
  <xdr:twoCellAnchor editAs="oneCell">
    <xdr:from>
      <xdr:col>0</xdr:col>
      <xdr:colOff>542925</xdr:colOff>
      <xdr:row>3</xdr:row>
      <xdr:rowOff>38100</xdr:rowOff>
    </xdr:from>
    <xdr:to>
      <xdr:col>10</xdr:col>
      <xdr:colOff>57150</xdr:colOff>
      <xdr:row>26</xdr:row>
      <xdr:rowOff>152400</xdr:rowOff>
    </xdr:to>
    <xdr:pic>
      <xdr:nvPicPr>
        <xdr:cNvPr id="5" name="Picture 31"/>
        <xdr:cNvPicPr preferRelativeResize="1">
          <a:picLocks noChangeAspect="1"/>
        </xdr:cNvPicPr>
      </xdr:nvPicPr>
      <xdr:blipFill>
        <a:blip r:embed="rId5"/>
        <a:stretch>
          <a:fillRect/>
        </a:stretch>
      </xdr:blipFill>
      <xdr:spPr>
        <a:xfrm>
          <a:off x="542925" y="523875"/>
          <a:ext cx="5610225" cy="3838575"/>
        </a:xfrm>
        <a:prstGeom prst="rect">
          <a:avLst/>
        </a:prstGeom>
        <a:noFill/>
        <a:ln w="9525" cmpd="sng">
          <a:noFill/>
        </a:ln>
      </xdr:spPr>
    </xdr:pic>
    <xdr:clientData/>
  </xdr:twoCellAnchor>
  <xdr:twoCellAnchor editAs="oneCell">
    <xdr:from>
      <xdr:col>10</xdr:col>
      <xdr:colOff>447675</xdr:colOff>
      <xdr:row>3</xdr:row>
      <xdr:rowOff>28575</xdr:rowOff>
    </xdr:from>
    <xdr:to>
      <xdr:col>19</xdr:col>
      <xdr:colOff>504825</xdr:colOff>
      <xdr:row>26</xdr:row>
      <xdr:rowOff>104775</xdr:rowOff>
    </xdr:to>
    <xdr:pic>
      <xdr:nvPicPr>
        <xdr:cNvPr id="6" name="Picture 32"/>
        <xdr:cNvPicPr preferRelativeResize="1">
          <a:picLocks noChangeAspect="1"/>
        </xdr:cNvPicPr>
      </xdr:nvPicPr>
      <xdr:blipFill>
        <a:blip r:embed="rId6"/>
        <a:stretch>
          <a:fillRect/>
        </a:stretch>
      </xdr:blipFill>
      <xdr:spPr>
        <a:xfrm>
          <a:off x="6543675" y="514350"/>
          <a:ext cx="5543550" cy="3800475"/>
        </a:xfrm>
        <a:prstGeom prst="rect">
          <a:avLst/>
        </a:prstGeom>
        <a:noFill/>
        <a:ln w="9525" cmpd="sng">
          <a:noFill/>
        </a:ln>
      </xdr:spPr>
    </xdr:pic>
    <xdr:clientData/>
  </xdr:twoCellAnchor>
  <xdr:twoCellAnchor editAs="oneCell">
    <xdr:from>
      <xdr:col>10</xdr:col>
      <xdr:colOff>457200</xdr:colOff>
      <xdr:row>57</xdr:row>
      <xdr:rowOff>76200</xdr:rowOff>
    </xdr:from>
    <xdr:to>
      <xdr:col>19</xdr:col>
      <xdr:colOff>400050</xdr:colOff>
      <xdr:row>81</xdr:row>
      <xdr:rowOff>57150</xdr:rowOff>
    </xdr:to>
    <xdr:pic>
      <xdr:nvPicPr>
        <xdr:cNvPr id="7" name="Picture 34"/>
        <xdr:cNvPicPr preferRelativeResize="1">
          <a:picLocks noChangeAspect="1"/>
        </xdr:cNvPicPr>
      </xdr:nvPicPr>
      <xdr:blipFill>
        <a:blip r:embed="rId7"/>
        <a:stretch>
          <a:fillRect/>
        </a:stretch>
      </xdr:blipFill>
      <xdr:spPr>
        <a:xfrm>
          <a:off x="6553200" y="9305925"/>
          <a:ext cx="5429250" cy="3867150"/>
        </a:xfrm>
        <a:prstGeom prst="rect">
          <a:avLst/>
        </a:prstGeom>
        <a:noFill/>
        <a:ln w="9525" cmpd="sng">
          <a:noFill/>
        </a:ln>
      </xdr:spPr>
    </xdr:pic>
    <xdr:clientData/>
  </xdr:twoCellAnchor>
  <xdr:twoCellAnchor editAs="oneCell">
    <xdr:from>
      <xdr:col>10</xdr:col>
      <xdr:colOff>419100</xdr:colOff>
      <xdr:row>30</xdr:row>
      <xdr:rowOff>76200</xdr:rowOff>
    </xdr:from>
    <xdr:to>
      <xdr:col>19</xdr:col>
      <xdr:colOff>457200</xdr:colOff>
      <xdr:row>53</xdr:row>
      <xdr:rowOff>123825</xdr:rowOff>
    </xdr:to>
    <xdr:pic>
      <xdr:nvPicPr>
        <xdr:cNvPr id="8" name="Picture 35"/>
        <xdr:cNvPicPr preferRelativeResize="1">
          <a:picLocks noChangeAspect="1"/>
        </xdr:cNvPicPr>
      </xdr:nvPicPr>
      <xdr:blipFill>
        <a:blip r:embed="rId8"/>
        <a:stretch>
          <a:fillRect/>
        </a:stretch>
      </xdr:blipFill>
      <xdr:spPr>
        <a:xfrm>
          <a:off x="6515100" y="4933950"/>
          <a:ext cx="5524500" cy="3771900"/>
        </a:xfrm>
        <a:prstGeom prst="rect">
          <a:avLst/>
        </a:prstGeom>
        <a:noFill/>
        <a:ln w="9525" cmpd="sng">
          <a:noFill/>
        </a:ln>
      </xdr:spPr>
    </xdr:pic>
    <xdr:clientData/>
  </xdr:twoCellAnchor>
  <xdr:twoCellAnchor editAs="oneCell">
    <xdr:from>
      <xdr:col>0</xdr:col>
      <xdr:colOff>523875</xdr:colOff>
      <xdr:row>85</xdr:row>
      <xdr:rowOff>85725</xdr:rowOff>
    </xdr:from>
    <xdr:to>
      <xdr:col>10</xdr:col>
      <xdr:colOff>114300</xdr:colOff>
      <xdr:row>109</xdr:row>
      <xdr:rowOff>85725</xdr:rowOff>
    </xdr:to>
    <xdr:pic>
      <xdr:nvPicPr>
        <xdr:cNvPr id="9" name="Picture 36"/>
        <xdr:cNvPicPr preferRelativeResize="1">
          <a:picLocks noChangeAspect="1"/>
        </xdr:cNvPicPr>
      </xdr:nvPicPr>
      <xdr:blipFill>
        <a:blip r:embed="rId9"/>
        <a:stretch>
          <a:fillRect/>
        </a:stretch>
      </xdr:blipFill>
      <xdr:spPr>
        <a:xfrm>
          <a:off x="523875" y="13849350"/>
          <a:ext cx="5686425" cy="3886200"/>
        </a:xfrm>
        <a:prstGeom prst="rect">
          <a:avLst/>
        </a:prstGeom>
        <a:noFill/>
        <a:ln w="9525" cmpd="sng">
          <a:noFill/>
        </a:ln>
      </xdr:spPr>
    </xdr:pic>
    <xdr:clientData/>
  </xdr:twoCellAnchor>
  <xdr:twoCellAnchor editAs="oneCell">
    <xdr:from>
      <xdr:col>0</xdr:col>
      <xdr:colOff>552450</xdr:colOff>
      <xdr:row>30</xdr:row>
      <xdr:rowOff>66675</xdr:rowOff>
    </xdr:from>
    <xdr:to>
      <xdr:col>10</xdr:col>
      <xdr:colOff>85725</xdr:colOff>
      <xdr:row>54</xdr:row>
      <xdr:rowOff>28575</xdr:rowOff>
    </xdr:to>
    <xdr:pic>
      <xdr:nvPicPr>
        <xdr:cNvPr id="10" name="Picture 38"/>
        <xdr:cNvPicPr preferRelativeResize="1">
          <a:picLocks noChangeAspect="1"/>
        </xdr:cNvPicPr>
      </xdr:nvPicPr>
      <xdr:blipFill>
        <a:blip r:embed="rId10"/>
        <a:stretch>
          <a:fillRect/>
        </a:stretch>
      </xdr:blipFill>
      <xdr:spPr>
        <a:xfrm>
          <a:off x="552450" y="4924425"/>
          <a:ext cx="5629275" cy="3848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25</xdr:row>
      <xdr:rowOff>38100</xdr:rowOff>
    </xdr:from>
    <xdr:to>
      <xdr:col>10</xdr:col>
      <xdr:colOff>133350</xdr:colOff>
      <xdr:row>50</xdr:row>
      <xdr:rowOff>114300</xdr:rowOff>
    </xdr:to>
    <xdr:pic>
      <xdr:nvPicPr>
        <xdr:cNvPr id="1" name="Picture 1"/>
        <xdr:cNvPicPr preferRelativeResize="1">
          <a:picLocks noChangeAspect="1"/>
        </xdr:cNvPicPr>
      </xdr:nvPicPr>
      <xdr:blipFill>
        <a:blip r:embed="rId1"/>
        <a:stretch>
          <a:fillRect/>
        </a:stretch>
      </xdr:blipFill>
      <xdr:spPr>
        <a:xfrm>
          <a:off x="114300" y="4086225"/>
          <a:ext cx="6115050" cy="4124325"/>
        </a:xfrm>
        <a:prstGeom prst="rect">
          <a:avLst/>
        </a:prstGeom>
        <a:noFill/>
        <a:ln w="9525" cmpd="sng">
          <a:noFill/>
        </a:ln>
      </xdr:spPr>
    </xdr:pic>
    <xdr:clientData/>
  </xdr:twoCellAnchor>
  <xdr:twoCellAnchor editAs="oneCell">
    <xdr:from>
      <xdr:col>0</xdr:col>
      <xdr:colOff>114300</xdr:colOff>
      <xdr:row>0</xdr:row>
      <xdr:rowOff>57150</xdr:rowOff>
    </xdr:from>
    <xdr:to>
      <xdr:col>10</xdr:col>
      <xdr:colOff>114300</xdr:colOff>
      <xdr:row>24</xdr:row>
      <xdr:rowOff>152400</xdr:rowOff>
    </xdr:to>
    <xdr:pic>
      <xdr:nvPicPr>
        <xdr:cNvPr id="2" name="Picture 2"/>
        <xdr:cNvPicPr preferRelativeResize="1">
          <a:picLocks noChangeAspect="1"/>
        </xdr:cNvPicPr>
      </xdr:nvPicPr>
      <xdr:blipFill>
        <a:blip r:embed="rId2"/>
        <a:stretch>
          <a:fillRect/>
        </a:stretch>
      </xdr:blipFill>
      <xdr:spPr>
        <a:xfrm>
          <a:off x="114300" y="57150"/>
          <a:ext cx="6096000" cy="398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ustkdx.dirtrider.net/" TargetMode="External" /><Relationship Id="rId2" Type="http://schemas.openxmlformats.org/officeDocument/2006/relationships/hyperlink" Target="http://www.lifenet.com/brm/carbkei.htm" TargetMode="External" /><Relationship Id="rId3" Type="http://schemas.openxmlformats.org/officeDocument/2006/relationships/hyperlink" Target="http://www.keihin-us.com/carb.html" TargetMode="External" /><Relationship Id="rId4" Type="http://schemas.openxmlformats.org/officeDocument/2006/relationships/hyperlink" Target="http://www.sudco.com/" TargetMode="External" /><Relationship Id="rId5" Type="http://schemas.openxmlformats.org/officeDocument/2006/relationships/hyperlink" Target="http://www.carbparts.com/" TargetMode="External" /><Relationship Id="rId6" Type="http://schemas.openxmlformats.org/officeDocument/2006/relationships/hyperlink" Target="http://www.ericgorr.com/techarticles/carbtuning.html#a" TargetMode="Externa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B20" sqref="B20"/>
    </sheetView>
  </sheetViews>
  <sheetFormatPr defaultColWidth="11.421875" defaultRowHeight="12.75"/>
  <cols>
    <col min="1" max="1" width="23.28125" style="0" customWidth="1"/>
    <col min="2" max="2" width="93.57421875" style="0" customWidth="1"/>
    <col min="3" max="3" width="91.8515625" style="0" customWidth="1"/>
    <col min="4" max="16384" width="9.140625" style="0" customWidth="1"/>
  </cols>
  <sheetData>
    <row r="1" ht="17.25">
      <c r="A1" s="11" t="s">
        <v>68</v>
      </c>
    </row>
    <row r="2" spans="2:12" ht="78.75">
      <c r="B2" s="71" t="s">
        <v>216</v>
      </c>
      <c r="C2" s="14"/>
      <c r="D2" s="14"/>
      <c r="E2" s="14"/>
      <c r="F2" s="14"/>
      <c r="G2" s="14"/>
      <c r="H2" s="14"/>
      <c r="I2" s="14"/>
      <c r="J2" s="14"/>
      <c r="K2" s="14"/>
      <c r="L2" s="14"/>
    </row>
    <row r="3" ht="17.25">
      <c r="A3" s="12" t="s">
        <v>69</v>
      </c>
    </row>
    <row r="4" ht="12.75">
      <c r="A4" s="3" t="s">
        <v>217</v>
      </c>
    </row>
    <row r="5" spans="1:2" ht="12.75">
      <c r="A5" s="13" t="s">
        <v>70</v>
      </c>
      <c r="B5" t="s">
        <v>101</v>
      </c>
    </row>
    <row r="6" spans="1:2" ht="12.75">
      <c r="A6" s="13" t="s">
        <v>71</v>
      </c>
      <c r="B6" t="s">
        <v>95</v>
      </c>
    </row>
    <row r="7" spans="1:2" ht="12.75">
      <c r="A7" s="13"/>
      <c r="B7" s="54" t="s">
        <v>104</v>
      </c>
    </row>
    <row r="8" spans="1:2" ht="12.75">
      <c r="A8" s="13"/>
      <c r="B8" s="67" t="s">
        <v>103</v>
      </c>
    </row>
    <row r="9" spans="1:2" ht="12.75">
      <c r="A9" s="13"/>
      <c r="B9" s="54" t="s">
        <v>102</v>
      </c>
    </row>
    <row r="10" spans="1:2" ht="12.75">
      <c r="A10" s="13"/>
      <c r="B10" s="54" t="s">
        <v>105</v>
      </c>
    </row>
    <row r="11" ht="12.75">
      <c r="A11" s="13"/>
    </row>
    <row r="12" spans="1:2" ht="26.25">
      <c r="A12" s="72" t="s">
        <v>72</v>
      </c>
      <c r="B12" s="71" t="s">
        <v>106</v>
      </c>
    </row>
    <row r="13" spans="1:2" ht="12.75">
      <c r="A13" s="13" t="s">
        <v>73</v>
      </c>
      <c r="B13" t="s">
        <v>74</v>
      </c>
    </row>
    <row r="14" spans="1:2" ht="39">
      <c r="A14" s="72" t="s">
        <v>111</v>
      </c>
      <c r="B14" s="71" t="s">
        <v>115</v>
      </c>
    </row>
    <row r="15" spans="1:2" ht="39">
      <c r="A15" s="72" t="s">
        <v>112</v>
      </c>
      <c r="B15" s="71" t="s">
        <v>113</v>
      </c>
    </row>
    <row r="16" ht="12.75">
      <c r="A16" s="3" t="s">
        <v>94</v>
      </c>
    </row>
    <row r="17" spans="1:2" ht="12.75">
      <c r="A17" s="13" t="s">
        <v>70</v>
      </c>
      <c r="B17" t="s">
        <v>75</v>
      </c>
    </row>
    <row r="18" spans="1:2" ht="12.75">
      <c r="A18" s="13" t="s">
        <v>71</v>
      </c>
      <c r="B18" t="s">
        <v>76</v>
      </c>
    </row>
    <row r="19" ht="12.75">
      <c r="A19" s="89"/>
    </row>
    <row r="20" spans="1:2" ht="15">
      <c r="A20" s="73" t="s">
        <v>77</v>
      </c>
      <c r="B20" s="97"/>
    </row>
    <row r="21" spans="1:2" ht="13.5" customHeight="1">
      <c r="A21" s="89" t="s">
        <v>250</v>
      </c>
      <c r="B21" t="s">
        <v>251</v>
      </c>
    </row>
    <row r="22" spans="1:2" ht="14.25" customHeight="1">
      <c r="A22" s="89" t="s">
        <v>241</v>
      </c>
      <c r="B22" t="s">
        <v>126</v>
      </c>
    </row>
    <row r="23" spans="1:2" ht="12.75">
      <c r="A23" s="66" t="s">
        <v>108</v>
      </c>
      <c r="B23" t="s">
        <v>122</v>
      </c>
    </row>
    <row r="24" spans="1:2" ht="12.75">
      <c r="A24" s="66" t="s">
        <v>109</v>
      </c>
      <c r="B24" t="s">
        <v>123</v>
      </c>
    </row>
    <row r="25" spans="1:2" ht="12.75">
      <c r="A25" s="66" t="s">
        <v>107</v>
      </c>
      <c r="B25" t="s">
        <v>124</v>
      </c>
    </row>
    <row r="26" spans="1:2" ht="12.75">
      <c r="A26" s="66"/>
      <c r="B26" t="s">
        <v>125</v>
      </c>
    </row>
    <row r="28" ht="15">
      <c r="A28" s="73" t="s">
        <v>78</v>
      </c>
    </row>
    <row r="29" spans="1:2" ht="12.75">
      <c r="A29" t="s">
        <v>219</v>
      </c>
      <c r="B29" t="s">
        <v>218</v>
      </c>
    </row>
    <row r="30" spans="1:2" ht="12.75">
      <c r="A30" t="s">
        <v>242</v>
      </c>
      <c r="B30" t="s">
        <v>243</v>
      </c>
    </row>
    <row r="36" spans="1:2" ht="12.75">
      <c r="A36" s="86"/>
      <c r="B36" s="85"/>
    </row>
    <row r="37" spans="1:2" ht="12.75">
      <c r="A37" s="88"/>
      <c r="B37" s="87"/>
    </row>
    <row r="38" ht="15">
      <c r="A38" s="73" t="s">
        <v>117</v>
      </c>
    </row>
    <row r="39" spans="1:2" ht="12.75">
      <c r="A39" s="86" t="s">
        <v>119</v>
      </c>
      <c r="B39" s="85" t="s">
        <v>118</v>
      </c>
    </row>
    <row r="40" spans="1:2" ht="26.25">
      <c r="A40" s="88" t="s">
        <v>120</v>
      </c>
      <c r="B40" s="87" t="s">
        <v>121</v>
      </c>
    </row>
  </sheetData>
  <sheetProtection password="87AF" sheet="1" objects="1" scenarios="1"/>
  <printOptions/>
  <pageMargins left="0.75" right="0.75" top="1" bottom="1" header="0.5" footer="0.5"/>
  <pageSetup fitToHeight="1" fitToWidth="1" horizontalDpi="600" verticalDpi="600" orientation="landscape" scale="71" r:id="rId1"/>
  <headerFooter alignWithMargins="0">
    <oddFooter>&amp;C&amp;F&amp;R&amp;D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AC52"/>
  <sheetViews>
    <sheetView zoomScale="75" zoomScaleNormal="75" workbookViewId="0" topLeftCell="A1">
      <selection activeCell="X48" sqref="X48"/>
    </sheetView>
  </sheetViews>
  <sheetFormatPr defaultColWidth="11.421875" defaultRowHeight="12.75"/>
  <cols>
    <col min="1" max="1" width="10.00390625" style="0" customWidth="1"/>
    <col min="2" max="2" width="7.57421875" style="0" customWidth="1"/>
    <col min="3" max="4" width="9.140625" style="0" customWidth="1"/>
    <col min="5" max="5" width="9.57421875" style="0" customWidth="1"/>
    <col min="6" max="6" width="5.28125" style="0" customWidth="1"/>
    <col min="7" max="10" width="9.140625" style="0" customWidth="1"/>
    <col min="11" max="11" width="10.421875" style="0" customWidth="1"/>
    <col min="12" max="12" width="4.8515625" style="0" customWidth="1"/>
    <col min="13" max="16384" width="9.140625" style="0" customWidth="1"/>
  </cols>
  <sheetData>
    <row r="1" s="16" customFormat="1" ht="13.5" thickBot="1"/>
    <row r="2" spans="1:29" s="12" customFormat="1" ht="18" thickBot="1">
      <c r="A2" s="155" t="s">
        <v>18</v>
      </c>
      <c r="B2" s="156"/>
      <c r="C2" s="156"/>
      <c r="D2" s="156"/>
      <c r="E2" s="157"/>
      <c r="G2" s="155" t="s">
        <v>19</v>
      </c>
      <c r="H2" s="156"/>
      <c r="I2" s="156"/>
      <c r="J2" s="156"/>
      <c r="K2" s="157"/>
      <c r="M2" s="155" t="s">
        <v>43</v>
      </c>
      <c r="N2" s="156"/>
      <c r="O2" s="156"/>
      <c r="P2" s="156"/>
      <c r="Q2" s="157"/>
      <c r="S2" s="155" t="s">
        <v>281</v>
      </c>
      <c r="T2" s="156"/>
      <c r="U2" s="156"/>
      <c r="V2" s="156"/>
      <c r="W2" s="157"/>
      <c r="Y2" s="155" t="s">
        <v>282</v>
      </c>
      <c r="Z2" s="156"/>
      <c r="AA2" s="156"/>
      <c r="AB2" s="156"/>
      <c r="AC2" s="157"/>
    </row>
    <row r="3" spans="1:29" ht="12.75">
      <c r="A3" s="21" t="s">
        <v>156</v>
      </c>
      <c r="B3" s="43">
        <f>'PWK Chart'!H6</f>
        <v>100</v>
      </c>
      <c r="C3" s="16" t="s">
        <v>157</v>
      </c>
      <c r="D3" s="43">
        <f>'PWK Chart'!I6</f>
        <v>70</v>
      </c>
      <c r="E3" s="10"/>
      <c r="F3" s="4"/>
      <c r="G3" s="21" t="s">
        <v>156</v>
      </c>
      <c r="H3" s="43">
        <f>'PWK Chart'!H7</f>
        <v>100</v>
      </c>
      <c r="I3" s="16" t="s">
        <v>157</v>
      </c>
      <c r="J3" s="43">
        <f>'PWK Chart'!I7</f>
        <v>70</v>
      </c>
      <c r="K3" s="10"/>
      <c r="M3" s="21" t="s">
        <v>156</v>
      </c>
      <c r="N3" s="43">
        <f>'PWK Chart'!H8</f>
        <v>100</v>
      </c>
      <c r="O3" s="16" t="s">
        <v>157</v>
      </c>
      <c r="P3" s="43">
        <f>'PWK Chart'!I8</f>
        <v>70</v>
      </c>
      <c r="Q3" s="10" t="s">
        <v>6</v>
      </c>
      <c r="S3" s="21" t="s">
        <v>156</v>
      </c>
      <c r="T3" s="43">
        <f>'PWK Chart'!H9</f>
        <v>100</v>
      </c>
      <c r="U3" s="16" t="s">
        <v>157</v>
      </c>
      <c r="V3" s="43">
        <f>'PWK Chart'!I9</f>
        <v>70</v>
      </c>
      <c r="W3" s="10" t="s">
        <v>6</v>
      </c>
      <c r="Y3" s="21" t="s">
        <v>156</v>
      </c>
      <c r="Z3" s="43">
        <f>'PWK Chart'!H10</f>
        <v>100</v>
      </c>
      <c r="AA3" s="16" t="s">
        <v>157</v>
      </c>
      <c r="AB3" s="43">
        <f>'PWK Chart'!I10</f>
        <v>70</v>
      </c>
      <c r="AC3" s="10" t="s">
        <v>6</v>
      </c>
    </row>
    <row r="4" spans="1:29" ht="12.75">
      <c r="A4" s="21" t="s">
        <v>64</v>
      </c>
      <c r="B4" s="22">
        <f>IF(B6="N",IF(OR(C6="A",C6="O",C6=3,C6=8),3,1),1)</f>
        <v>1</v>
      </c>
      <c r="C4" s="16"/>
      <c r="D4" s="16"/>
      <c r="E4" s="10" t="s">
        <v>6</v>
      </c>
      <c r="F4" s="4"/>
      <c r="G4" s="21" t="s">
        <v>64</v>
      </c>
      <c r="H4" s="22">
        <f>IF(H6="N",IF(OR(I6="A",I6="O",I6=3,I6=8),3,1),1)</f>
        <v>1</v>
      </c>
      <c r="I4" s="16"/>
      <c r="J4" s="16"/>
      <c r="K4" s="10" t="s">
        <v>6</v>
      </c>
      <c r="M4" s="21" t="s">
        <v>64</v>
      </c>
      <c r="N4" s="22">
        <f>IF(N6="N",IF(OR(O6="A",O6="O",O6=3,O6=8),3,1),1)</f>
        <v>1</v>
      </c>
      <c r="O4" s="16"/>
      <c r="P4" s="16"/>
      <c r="Q4" s="10" t="s">
        <v>6</v>
      </c>
      <c r="S4" s="21" t="s">
        <v>64</v>
      </c>
      <c r="T4" s="22">
        <f>IF(T6="N",IF(OR(U6="A",U6="O",U6=3,U6=8),3,1),1)</f>
        <v>1</v>
      </c>
      <c r="U4" s="16"/>
      <c r="V4" s="16"/>
      <c r="W4" s="10" t="s">
        <v>6</v>
      </c>
      <c r="Y4" s="21" t="s">
        <v>64</v>
      </c>
      <c r="Z4" s="22">
        <f>IF(Z6="N",IF(OR(AA6="A",AA6="O",AA6=3,AA6=8),3,1),1)</f>
        <v>1</v>
      </c>
      <c r="AA4" s="16"/>
      <c r="AB4" s="16"/>
      <c r="AC4" s="10" t="s">
        <v>6</v>
      </c>
    </row>
    <row r="5" spans="1:29" ht="12.75">
      <c r="A5" s="21" t="s">
        <v>147</v>
      </c>
      <c r="B5" s="43">
        <f>'PWK Chart'!B6</f>
        <v>40</v>
      </c>
      <c r="C5" s="16"/>
      <c r="D5" s="16"/>
      <c r="E5" s="10" t="s">
        <v>7</v>
      </c>
      <c r="F5" s="2"/>
      <c r="G5" s="23"/>
      <c r="H5" s="43">
        <f>'PWK Chart'!B7</f>
        <v>40</v>
      </c>
      <c r="I5" s="16"/>
      <c r="J5" s="16"/>
      <c r="K5" s="10" t="s">
        <v>7</v>
      </c>
      <c r="M5" s="23"/>
      <c r="N5" s="43">
        <f>'PWK Chart'!B8</f>
        <v>40</v>
      </c>
      <c r="O5" s="16"/>
      <c r="P5" s="16"/>
      <c r="Q5" s="10" t="s">
        <v>7</v>
      </c>
      <c r="S5" s="23"/>
      <c r="T5" s="43">
        <f>'PWK Chart'!B9</f>
        <v>40</v>
      </c>
      <c r="U5" s="16"/>
      <c r="V5" s="16"/>
      <c r="W5" s="10" t="s">
        <v>7</v>
      </c>
      <c r="Y5" s="23"/>
      <c r="Z5" s="43">
        <f>'PWK Chart'!B10</f>
        <v>40</v>
      </c>
      <c r="AA5" s="16"/>
      <c r="AB5" s="16"/>
      <c r="AC5" s="10" t="s">
        <v>7</v>
      </c>
    </row>
    <row r="6" spans="1:29" ht="12.75">
      <c r="A6" s="49"/>
      <c r="B6" s="43" t="str">
        <f>'PWK Chart'!C6</f>
        <v>B</v>
      </c>
      <c r="C6" s="43" t="str">
        <f>'PWK Chart'!D6</f>
        <v>G</v>
      </c>
      <c r="D6" s="43" t="str">
        <f>'PWK Chart'!E6</f>
        <v>N</v>
      </c>
      <c r="E6" s="48">
        <f>'PWK Chart'!F6</f>
        <v>3</v>
      </c>
      <c r="F6" s="1"/>
      <c r="G6" s="49"/>
      <c r="H6" s="43" t="str">
        <f>'PWK Chart'!C7</f>
        <v>B</v>
      </c>
      <c r="I6" s="43" t="str">
        <f>'PWK Chart'!D7</f>
        <v>G</v>
      </c>
      <c r="J6" s="43" t="str">
        <f>'PWK Chart'!E7</f>
        <v>N</v>
      </c>
      <c r="K6" s="48">
        <f>'PWK Chart'!F7</f>
        <v>3</v>
      </c>
      <c r="M6" s="49"/>
      <c r="N6" s="43">
        <f>'PWK Chart'!C8</f>
        <v>0</v>
      </c>
      <c r="O6" s="43">
        <f>'PWK Chart'!D8</f>
        <v>0</v>
      </c>
      <c r="P6" s="43">
        <f>'PWK Chart'!E8</f>
        <v>0</v>
      </c>
      <c r="Q6" s="48">
        <f>'PWK Chart'!F8</f>
        <v>3</v>
      </c>
      <c r="S6" s="49"/>
      <c r="T6" s="43">
        <f>'PWK Chart'!C9</f>
        <v>0</v>
      </c>
      <c r="U6" s="43">
        <f>'PWK Chart'!D9</f>
        <v>0</v>
      </c>
      <c r="V6" s="43">
        <f>'PWK Chart'!E9</f>
        <v>0</v>
      </c>
      <c r="W6" s="48">
        <f>'PWK Chart'!F9</f>
        <v>3</v>
      </c>
      <c r="Y6" s="49"/>
      <c r="Z6" s="43">
        <f>'PWK Chart'!C10</f>
        <v>0</v>
      </c>
      <c r="AA6" s="43">
        <f>'PWK Chart'!D10</f>
        <v>0</v>
      </c>
      <c r="AB6" s="43">
        <f>'PWK Chart'!E10</f>
        <v>0</v>
      </c>
      <c r="AC6" s="48">
        <f>'PWK Chart'!F10</f>
        <v>3</v>
      </c>
    </row>
    <row r="7" spans="1:29" ht="12.75">
      <c r="A7" s="21" t="s">
        <v>146</v>
      </c>
      <c r="B7" s="43">
        <f>'PWK Chart'!G6</f>
        <v>152</v>
      </c>
      <c r="C7" s="9"/>
      <c r="D7" s="9"/>
      <c r="E7" s="10"/>
      <c r="F7" s="1"/>
      <c r="G7" s="23"/>
      <c r="H7" s="43">
        <f>'PWK Chart'!G7</f>
        <v>155</v>
      </c>
      <c r="I7" s="9"/>
      <c r="J7" s="9"/>
      <c r="K7" s="10"/>
      <c r="M7" s="23"/>
      <c r="N7" s="43">
        <f>'PWK Chart'!G8</f>
        <v>152</v>
      </c>
      <c r="O7" s="9"/>
      <c r="P7" s="9"/>
      <c r="Q7" s="10"/>
      <c r="S7" s="23"/>
      <c r="T7" s="43">
        <f>'PWK Chart'!G9</f>
        <v>152</v>
      </c>
      <c r="U7" s="9"/>
      <c r="V7" s="9"/>
      <c r="W7" s="10"/>
      <c r="Y7" s="23"/>
      <c r="Z7" s="43">
        <f>'PWK Chart'!G10</f>
        <v>152</v>
      </c>
      <c r="AA7" s="9"/>
      <c r="AB7" s="9"/>
      <c r="AC7" s="10"/>
    </row>
    <row r="8" spans="1:29" ht="12.75">
      <c r="A8" s="24"/>
      <c r="B8" s="9" t="s">
        <v>0</v>
      </c>
      <c r="C8" s="9" t="s">
        <v>2</v>
      </c>
      <c r="D8" s="9" t="s">
        <v>3</v>
      </c>
      <c r="E8" s="25" t="s">
        <v>63</v>
      </c>
      <c r="G8" s="24"/>
      <c r="H8" s="9" t="s">
        <v>0</v>
      </c>
      <c r="I8" s="9" t="s">
        <v>2</v>
      </c>
      <c r="J8" s="9" t="s">
        <v>3</v>
      </c>
      <c r="K8" s="25" t="s">
        <v>63</v>
      </c>
      <c r="M8" s="24"/>
      <c r="N8" s="9" t="s">
        <v>0</v>
      </c>
      <c r="O8" s="9" t="s">
        <v>2</v>
      </c>
      <c r="P8" s="9" t="s">
        <v>3</v>
      </c>
      <c r="Q8" s="25" t="s">
        <v>63</v>
      </c>
      <c r="S8" s="24"/>
      <c r="T8" s="9" t="s">
        <v>0</v>
      </c>
      <c r="U8" s="9" t="s">
        <v>2</v>
      </c>
      <c r="V8" s="9" t="s">
        <v>3</v>
      </c>
      <c r="W8" s="25" t="s">
        <v>63</v>
      </c>
      <c r="Y8" s="24"/>
      <c r="Z8" s="9" t="s">
        <v>0</v>
      </c>
      <c r="AA8" s="9" t="s">
        <v>2</v>
      </c>
      <c r="AB8" s="9" t="s">
        <v>3</v>
      </c>
      <c r="AC8" s="25" t="s">
        <v>63</v>
      </c>
    </row>
    <row r="9" spans="1:29" ht="12.75">
      <c r="A9" s="24"/>
      <c r="B9" s="9" t="s">
        <v>1</v>
      </c>
      <c r="C9" s="9" t="s">
        <v>5</v>
      </c>
      <c r="D9" s="9" t="s">
        <v>5</v>
      </c>
      <c r="E9" s="10" t="s">
        <v>5</v>
      </c>
      <c r="G9" s="24"/>
      <c r="H9" s="9" t="s">
        <v>1</v>
      </c>
      <c r="I9" s="9" t="s">
        <v>5</v>
      </c>
      <c r="J9" s="9" t="s">
        <v>5</v>
      </c>
      <c r="K9" s="10" t="s">
        <v>5</v>
      </c>
      <c r="M9" s="24"/>
      <c r="N9" s="9" t="s">
        <v>1</v>
      </c>
      <c r="O9" s="9" t="s">
        <v>5</v>
      </c>
      <c r="P9" s="9" t="s">
        <v>5</v>
      </c>
      <c r="Q9" s="10" t="s">
        <v>5</v>
      </c>
      <c r="S9" s="24"/>
      <c r="T9" s="9" t="s">
        <v>1</v>
      </c>
      <c r="U9" s="9" t="s">
        <v>5</v>
      </c>
      <c r="V9" s="9" t="s">
        <v>5</v>
      </c>
      <c r="W9" s="10" t="s">
        <v>5</v>
      </c>
      <c r="Y9" s="24"/>
      <c r="Z9" s="9" t="s">
        <v>1</v>
      </c>
      <c r="AA9" s="9" t="s">
        <v>5</v>
      </c>
      <c r="AB9" s="9" t="s">
        <v>5</v>
      </c>
      <c r="AC9" s="10" t="s">
        <v>5</v>
      </c>
    </row>
    <row r="10" spans="1:29" ht="12.75">
      <c r="A10" s="24" t="s">
        <v>57</v>
      </c>
      <c r="B10" s="18">
        <f>IF(B$4=1,(IF(AND(LEN(B6)=3,LEFT(B6,1)="R"),LOOKUP(B6,'PWK Needle Data'!$A31:$A65,'PWK Needle Data'!$D31:$D46),LOOKUP(B6,'PWK Needle Data'!$A4:$A29,'PWK Needle Data'!$D4:$D29))),LOOKUP(D6,'PWK Needle Data'!$A71:$A110,'PWK Needle Data'!$D71:$D110))</f>
        <v>1.25</v>
      </c>
      <c r="C10" s="18">
        <f>IF(B$4=1,(IF(AND(LEN(B6)=3,LEFT(B6,1)="R"),LOOKUP(D6,'PWK Needle Data'!$A31:$A65,'PWK Needle Data'!$E31:$E46),LOOKUP(C6,'PWK Needle Data'!$A4:$A29,'PWK Needle Data'!$E4:$E29))),"")</f>
        <v>39.95</v>
      </c>
      <c r="D10" s="18">
        <f>IF(B$4=1,(IF(AND(LEN(B6)=3,LEFT(B6,1)="R"),LOOKUP(C6,'PWK Needle Data'!$A31:$A65,'PWK Needle Data'!$F31:$F46),LOOKUP(D6,'PWK Needle Data'!$A4:$A29,'PWK Needle Data'!$F4:$F29))),LOOKUP(D6,'PWK Needle Data'!$A71:$A110,'PWK Needle Data'!$F71:$F110))</f>
        <v>2.7249999999999974</v>
      </c>
      <c r="E10" s="19">
        <f>IF(B$4=1,C10-(D10-2.515)/TAN(PI()/180*B10),LOOKUP(D$6,'PWK Needle Data'!$A71:$A110,'PWK Needle Data'!$G71:$G110))</f>
        <v>30.32583625335837</v>
      </c>
      <c r="G10" s="24" t="s">
        <v>57</v>
      </c>
      <c r="H10" s="18">
        <f>IF(H$4=1,(IF(AND(LEN(H6)=3,LEFT(H6,1)="R"),LOOKUP(H6,'PWK Needle Data'!$A31:$A65,'PWK Needle Data'!$D31:$D46),LOOKUP(H6,'PWK Needle Data'!$A4:$A29,'PWK Needle Data'!$D4:$D29))),LOOKUP(J6,'PWK Needle Data'!$A71:$A110,'PWK Needle Data'!$D71:$D110))</f>
        <v>1.25</v>
      </c>
      <c r="I10" s="18">
        <f>IF(H$4=1,(IF(AND(LEN(H6)=3,LEFT(H6,1)="R"),LOOKUP(J6,'PWK Needle Data'!$A31:$A65,'PWK Needle Data'!$E31:$E46),LOOKUP(I6,'PWK Needle Data'!$A4:$A29,'PWK Needle Data'!$E4:$E29))),"")</f>
        <v>39.95</v>
      </c>
      <c r="J10" s="18">
        <f>IF(H$4=1,(IF(AND(LEN(H6)=3,LEFT(H6,1)="R"),LOOKUP(I6,'PWK Needle Data'!$A31:$A65,'PWK Needle Data'!$F31:$F46),LOOKUP(J6,'PWK Needle Data'!$A4:$A29,'PWK Needle Data'!$F4:$F29))),LOOKUP(J6,'PWK Needle Data'!$A71:$A110,'PWK Needle Data'!$F71:$F110))</f>
        <v>2.7249999999999974</v>
      </c>
      <c r="K10" s="19">
        <f>IF(H$4=1,I10-(J10-2.515)/TAN(PI()/180*H10),LOOKUP(J$6,'PWK Needle Data'!$A71:$A110,'PWK Needle Data'!$G71:$G110))</f>
        <v>30.32583625335837</v>
      </c>
      <c r="M10" s="24" t="s">
        <v>57</v>
      </c>
      <c r="N10" s="18" t="e">
        <f>IF(N$4=1,(IF(AND(LEN(N6)=3,LEFT(N6,1)="R"),LOOKUP(N6,'PWK Needle Data'!$A31:$A65,'PWK Needle Data'!$D31:$D46),LOOKUP(N6,'PWK Needle Data'!$A4:$A29,'PWK Needle Data'!$D4:$D29))),LOOKUP(P6,'PWK Needle Data'!$A71:$A110,'PWK Needle Data'!$D71:$D110))</f>
        <v>#N/A</v>
      </c>
      <c r="O10" s="18" t="e">
        <f>IF(N$4=1,(IF(AND(LEN(N6)=3,LEFT(N6,1)="R"),LOOKUP(P6,'PWK Needle Data'!$A31:$A65,'PWK Needle Data'!$E31:$E46),LOOKUP(O6,'PWK Needle Data'!$A4:$A29,'PWK Needle Data'!$E4:$E29))),"")</f>
        <v>#N/A</v>
      </c>
      <c r="P10" s="18" t="e">
        <f>IF(N$4=1,(IF(AND(LEN(N6)=3,LEFT(N6,1)="R"),LOOKUP(O6,'PWK Needle Data'!$A31:$A65,'PWK Needle Data'!$F31:$F46),LOOKUP(P6,'PWK Needle Data'!$A4:$A29,'PWK Needle Data'!$F4:$F29))),LOOKUP(P6,'PWK Needle Data'!$A71:$A110,'PWK Needle Data'!$F71:$F110))</f>
        <v>#N/A</v>
      </c>
      <c r="Q10" s="19" t="e">
        <f>IF(N$4=1,O10-(P10-2.515)/TAN(PI()/180*N10),LOOKUP(P$6,'PWK Needle Data'!$A71:$A110,'PWK Needle Data'!$G71:$G110))</f>
        <v>#N/A</v>
      </c>
      <c r="S10" s="24" t="s">
        <v>57</v>
      </c>
      <c r="T10" s="18" t="e">
        <f>IF(T$4=1,(IF(AND(LEN(T6)=3,LEFT(T6,1)="R"),LOOKUP(T6,'PWK Needle Data'!$A31:$A65,'PWK Needle Data'!$D31:$D46),LOOKUP(T6,'PWK Needle Data'!$A4:$A29,'PWK Needle Data'!$D4:$D29))),LOOKUP(V6,'PWK Needle Data'!$A71:$A110,'PWK Needle Data'!$D71:$D110))</f>
        <v>#N/A</v>
      </c>
      <c r="U10" s="18" t="e">
        <f>IF(T$4=1,(IF(AND(LEN(T6)=3,LEFT(T6,1)="R"),LOOKUP(V6,'PWK Needle Data'!$A31:$A65,'PWK Needle Data'!$E31:$E46),LOOKUP(U6,'PWK Needle Data'!$A4:$A29,'PWK Needle Data'!$E4:$E29))),"")</f>
        <v>#N/A</v>
      </c>
      <c r="V10" s="18" t="e">
        <f>IF(T$4=1,(IF(AND(LEN(T6)=3,LEFT(T6,1)="R"),LOOKUP(U6,'PWK Needle Data'!$A31:$A65,'PWK Needle Data'!$F31:$F46),LOOKUP(V6,'PWK Needle Data'!$A4:$A29,'PWK Needle Data'!$F4:$F29))),LOOKUP(V6,'PWK Needle Data'!$A71:$A110,'PWK Needle Data'!$F71:$F110))</f>
        <v>#N/A</v>
      </c>
      <c r="W10" s="19" t="e">
        <f>IF(T$4=1,U10-(V10-2.515)/TAN(PI()/180*T10),LOOKUP(V$6,'PWK Needle Data'!$A71:$A110,'PWK Needle Data'!$G71:$G110))</f>
        <v>#N/A</v>
      </c>
      <c r="Y10" s="24" t="s">
        <v>57</v>
      </c>
      <c r="Z10" s="18" t="e">
        <f>IF(Z$4=1,(IF(AND(LEN(Z6)=3,LEFT(Z6,1)="R"),LOOKUP(Z6,'PWK Needle Data'!$A31:$A65,'PWK Needle Data'!$D31:$D46),LOOKUP(Z6,'PWK Needle Data'!$A4:$A29,'PWK Needle Data'!$D4:$D29))),LOOKUP(AB6,'PWK Needle Data'!$A71:$A110,'PWK Needle Data'!$D71:$D110))</f>
        <v>#N/A</v>
      </c>
      <c r="AA10" s="18" t="e">
        <f>IF(Z$4=1,(IF(AND(LEN(Z6)=3,LEFT(Z6,1)="R"),LOOKUP(AB6,'PWK Needle Data'!$A31:$A65,'PWK Needle Data'!$E31:$E46),LOOKUP(AA6,'PWK Needle Data'!$A4:$A29,'PWK Needle Data'!$E4:$E29))),"")</f>
        <v>#N/A</v>
      </c>
      <c r="AB10" s="18" t="e">
        <f>IF(Z$4=1,(IF(AND(LEN(Z6)=3,LEFT(Z6,1)="R"),LOOKUP(AA6,'PWK Needle Data'!$A31:$A65,'PWK Needle Data'!$F31:$F46),LOOKUP(AB6,'PWK Needle Data'!$A4:$A29,'PWK Needle Data'!$F4:$F29))),LOOKUP(AB6,'PWK Needle Data'!$A71:$A110,'PWK Needle Data'!$F71:$F110))</f>
        <v>#N/A</v>
      </c>
      <c r="AC10" s="19" t="e">
        <f>IF(Z$4=1,AA10-(AB10-2.515)/TAN(PI()/180*Z10),LOOKUP(AB$6,'PWK Needle Data'!$A71:$A110,'PWK Needle Data'!$G71:$G110))</f>
        <v>#N/A</v>
      </c>
    </row>
    <row r="11" spans="1:29" ht="12.75">
      <c r="A11" s="24" t="s">
        <v>58</v>
      </c>
      <c r="B11" s="18">
        <f>IF(B$4&lt;=1,"",LOOKUP(D6,'PWK Needle Data'!$A71:$A110,'PWK Needle Data'!$H71:$H110))</f>
      </c>
      <c r="C11" s="18">
        <f>IF(B$4=1,"",LOOKUP(D6,'PWK Needle Data'!$A71:$A110,'PWK Needle Data'!$E71:$E110))</f>
      </c>
      <c r="D11" s="18">
        <f>IF(B$4&lt;=1,"",LOOKUP(D$6,'PWK Needle Data'!$A71:$A110,'PWK Needle Data'!$J71:$J110))</f>
      </c>
      <c r="E11" s="19">
        <f>IF(B$4&lt;=1,"",LOOKUP(D$6,'PWK Needle Data'!$A71:$A110,'PWK Needle Data'!$I71:$I110))</f>
      </c>
      <c r="G11" s="24" t="s">
        <v>58</v>
      </c>
      <c r="H11" s="18">
        <f>IF(H$4&lt;=1,"",LOOKUP(J6,'PWK Needle Data'!$A71:$A110,'PWK Needle Data'!$H71:$H110))</f>
      </c>
      <c r="I11" s="18">
        <f>IF(H$4=1,"",LOOKUP(J6,'PWK Needle Data'!$A71:$A110,'PWK Needle Data'!$E71:$E110))</f>
      </c>
      <c r="J11" s="18">
        <f>IF(H$4&lt;=1,"",LOOKUP(J$6,'PWK Needle Data'!$A71:$A110,'PWK Needle Data'!$J71:$J110))</f>
      </c>
      <c r="K11" s="19">
        <f>IF(H$4&lt;=1,"",LOOKUP(J$6,'PWK Needle Data'!$A71:$A110,'PWK Needle Data'!$I71:$I110))</f>
      </c>
      <c r="M11" s="24" t="s">
        <v>58</v>
      </c>
      <c r="N11" s="18">
        <f>IF(N$4&lt;=1,"",LOOKUP(P6,'PWK Needle Data'!$A71:$A110,'PWK Needle Data'!$H71:$H110))</f>
      </c>
      <c r="O11" s="18">
        <f>IF(N$4=1,"",LOOKUP(P6,'PWK Needle Data'!$A71:$A110,'PWK Needle Data'!$E71:$E110))</f>
      </c>
      <c r="P11" s="18">
        <f>IF(N$4&lt;=1,"",LOOKUP(P$6,'PWK Needle Data'!$A71:$A110,'PWK Needle Data'!$J71:$J110))</f>
      </c>
      <c r="Q11" s="19">
        <f>IF(N$4&lt;=1,"",LOOKUP(P$6,'PWK Needle Data'!$A71:$A110,'PWK Needle Data'!$I71:$I110))</f>
      </c>
      <c r="S11" s="24" t="s">
        <v>58</v>
      </c>
      <c r="T11" s="18">
        <f>IF(T$4&lt;=1,"",LOOKUP(V6,'PWK Needle Data'!$A71:$A110,'PWK Needle Data'!$H71:$H110))</f>
      </c>
      <c r="U11" s="18">
        <f>IF(T$4=1,"",LOOKUP(V6,'PWK Needle Data'!$A71:$A110,'PWK Needle Data'!$E71:$E110))</f>
      </c>
      <c r="V11" s="18">
        <f>IF(T$4&lt;=1,"",LOOKUP(V$6,'PWK Needle Data'!$A71:$A110,'PWK Needle Data'!$J71:$J110))</f>
      </c>
      <c r="W11" s="19">
        <f>IF(T$4&lt;=1,"",LOOKUP(V$6,'PWK Needle Data'!$A71:$A110,'PWK Needle Data'!$I71:$I110))</f>
      </c>
      <c r="Y11" s="24" t="s">
        <v>58</v>
      </c>
      <c r="Z11" s="18">
        <f>IF(Z$4&lt;=1,"",LOOKUP(AB6,'PWK Needle Data'!$A71:$A110,'PWK Needle Data'!$H71:$H110))</f>
      </c>
      <c r="AA11" s="18">
        <f>IF(Z$4=1,"",LOOKUP(AB6,'PWK Needle Data'!$A71:$A110,'PWK Needle Data'!$E71:$E110))</f>
      </c>
      <c r="AB11" s="18">
        <f>IF(Z$4&lt;=1,"",LOOKUP(AB$6,'PWK Needle Data'!$A71:$A110,'PWK Needle Data'!$J71:$J110))</f>
      </c>
      <c r="AC11" s="19">
        <f>IF(Z$4&lt;=1,"",LOOKUP(AB$6,'PWK Needle Data'!$A71:$A110,'PWK Needle Data'!$I71:$I110))</f>
      </c>
    </row>
    <row r="12" spans="1:29" ht="12.75">
      <c r="A12" s="24" t="s">
        <v>59</v>
      </c>
      <c r="B12" s="18">
        <f>IF(B$4&lt;=2,"",LOOKUP(D6,'PWK Needle Data'!$A71:$A110,'PWK Needle Data'!$K71:$K110))</f>
      </c>
      <c r="C12" s="7"/>
      <c r="D12" s="18">
        <f>IF(B$4&lt;=2,"",LOOKUP(D$6,'PWK Needle Data'!$A71:$A110,'PWK Needle Data'!$M71:$M110))</f>
      </c>
      <c r="E12" s="19">
        <f>IF(B$4&lt;=2,"",LOOKUP(D$6,'PWK Needle Data'!$A71:$A110,'PWK Needle Data'!$L71:$L110))</f>
      </c>
      <c r="G12" s="24" t="s">
        <v>59</v>
      </c>
      <c r="H12" s="18">
        <f>IF(H$4&lt;=2,"",LOOKUP(J6,'PWK Needle Data'!$A71:$A110,'PWK Needle Data'!$K71:$K110))</f>
      </c>
      <c r="I12" s="7"/>
      <c r="J12" s="18">
        <f>IF(H$4&lt;=2,"",LOOKUP(J$6,'PWK Needle Data'!$A71:$A110,'PWK Needle Data'!$M71:$M110))</f>
      </c>
      <c r="K12" s="19">
        <f>IF(H$4&lt;=2,"",LOOKUP(J$6,'PWK Needle Data'!$A71:$A110,'PWK Needle Data'!$L71:$L110))</f>
      </c>
      <c r="M12" s="24" t="s">
        <v>59</v>
      </c>
      <c r="N12" s="18">
        <f>IF(N$4&lt;=2,"",LOOKUP(P6,'PWK Needle Data'!$A71:$A110,'PWK Needle Data'!$K71:$K110))</f>
      </c>
      <c r="O12" s="7"/>
      <c r="P12" s="18">
        <f>IF(N$4&lt;=2,"",LOOKUP(P$6,'PWK Needle Data'!$A71:$A110,'PWK Needle Data'!$M71:$M110))</f>
      </c>
      <c r="Q12" s="19">
        <f>IF(N$4&lt;=2,"",LOOKUP(P$6,'PWK Needle Data'!$A71:$A110,'PWK Needle Data'!$L71:$L110))</f>
      </c>
      <c r="S12" s="24" t="s">
        <v>59</v>
      </c>
      <c r="T12" s="18">
        <f>IF(T$4&lt;=2,"",LOOKUP(V6,'PWK Needle Data'!$A71:$A110,'PWK Needle Data'!$K71:$K110))</f>
      </c>
      <c r="U12" s="7"/>
      <c r="V12" s="18">
        <f>IF(T$4&lt;=2,"",LOOKUP(V$6,'PWK Needle Data'!$A71:$A110,'PWK Needle Data'!$M71:$M110))</f>
      </c>
      <c r="W12" s="19">
        <f>IF(T$4&lt;=2,"",LOOKUP(V$6,'PWK Needle Data'!$A71:$A110,'PWK Needle Data'!$L71:$L110))</f>
      </c>
      <c r="Y12" s="24" t="s">
        <v>59</v>
      </c>
      <c r="Z12" s="18">
        <f>IF(Z$4&lt;=2,"",LOOKUP(AB6,'PWK Needle Data'!$A71:$A110,'PWK Needle Data'!$K71:$K110))</f>
      </c>
      <c r="AA12" s="7"/>
      <c r="AB12" s="18">
        <f>IF(Z$4&lt;=2,"",LOOKUP(AB$6,'PWK Needle Data'!$A71:$A110,'PWK Needle Data'!$M71:$M110))</f>
      </c>
      <c r="AC12" s="19">
        <f>IF(Z$4&lt;=2,"",LOOKUP(AB$6,'PWK Needle Data'!$A71:$A110,'PWK Needle Data'!$L71:$L110))</f>
      </c>
    </row>
    <row r="13" spans="1:29" ht="12.75">
      <c r="A13" s="24"/>
      <c r="B13" s="16"/>
      <c r="C13" s="16"/>
      <c r="D13" s="16"/>
      <c r="E13" s="17"/>
      <c r="G13" s="24" t="s">
        <v>161</v>
      </c>
      <c r="H13" s="16">
        <f>(H3-$B3)/$F$51</f>
        <v>0</v>
      </c>
      <c r="I13" s="95" t="s">
        <v>160</v>
      </c>
      <c r="J13" s="16">
        <f>(J3-$D3)/$F$52</f>
        <v>0</v>
      </c>
      <c r="K13" s="17"/>
      <c r="M13" s="24" t="s">
        <v>161</v>
      </c>
      <c r="N13" s="16">
        <f>(N3-$B3)/$F$51</f>
        <v>0</v>
      </c>
      <c r="O13" s="95" t="s">
        <v>160</v>
      </c>
      <c r="P13" s="16">
        <f>(P3-$D3)/$F$52</f>
        <v>0</v>
      </c>
      <c r="Q13" s="17"/>
      <c r="S13" s="24" t="s">
        <v>161</v>
      </c>
      <c r="T13" s="16">
        <f>(T3-$B3)/$F$51</f>
        <v>0</v>
      </c>
      <c r="U13" s="95" t="s">
        <v>160</v>
      </c>
      <c r="V13" s="16">
        <f>(V3-$D3)/$F$52</f>
        <v>0</v>
      </c>
      <c r="W13" s="17"/>
      <c r="Y13" s="24" t="s">
        <v>161</v>
      </c>
      <c r="Z13" s="16">
        <f>(Z3-$B3)/$F$51</f>
        <v>0</v>
      </c>
      <c r="AA13" s="95" t="s">
        <v>160</v>
      </c>
      <c r="AB13" s="16">
        <f>(AB3-$D3)/$F$52</f>
        <v>0</v>
      </c>
      <c r="AC13" s="17"/>
    </row>
    <row r="14" spans="1:29" ht="12.75">
      <c r="A14" s="8" t="s">
        <v>9</v>
      </c>
      <c r="B14" s="9" t="s">
        <v>10</v>
      </c>
      <c r="C14" s="9" t="s">
        <v>10</v>
      </c>
      <c r="D14" s="9"/>
      <c r="E14" s="10"/>
      <c r="G14" s="8" t="s">
        <v>9</v>
      </c>
      <c r="H14" s="9" t="s">
        <v>10</v>
      </c>
      <c r="I14" s="9" t="s">
        <v>10</v>
      </c>
      <c r="J14" s="9"/>
      <c r="K14" s="10"/>
      <c r="M14" s="8" t="s">
        <v>9</v>
      </c>
      <c r="N14" s="9" t="s">
        <v>10</v>
      </c>
      <c r="O14" s="9" t="s">
        <v>10</v>
      </c>
      <c r="P14" s="9"/>
      <c r="Q14" s="10"/>
      <c r="S14" s="8" t="s">
        <v>9</v>
      </c>
      <c r="T14" s="9" t="s">
        <v>10</v>
      </c>
      <c r="U14" s="9" t="s">
        <v>10</v>
      </c>
      <c r="V14" s="9"/>
      <c r="W14" s="10"/>
      <c r="Y14" s="8" t="s">
        <v>9</v>
      </c>
      <c r="Z14" s="9" t="s">
        <v>10</v>
      </c>
      <c r="AA14" s="9" t="s">
        <v>10</v>
      </c>
      <c r="AB14" s="9"/>
      <c r="AC14" s="10"/>
    </row>
    <row r="15" spans="1:29" ht="12.75">
      <c r="A15" s="8" t="s">
        <v>7</v>
      </c>
      <c r="B15" s="9" t="s">
        <v>7</v>
      </c>
      <c r="C15" s="9" t="s">
        <v>4</v>
      </c>
      <c r="D15" s="9"/>
      <c r="E15" s="10"/>
      <c r="G15" s="8" t="s">
        <v>7</v>
      </c>
      <c r="H15" s="9" t="s">
        <v>7</v>
      </c>
      <c r="I15" s="9" t="s">
        <v>4</v>
      </c>
      <c r="J15" s="9"/>
      <c r="K15" s="10"/>
      <c r="M15" s="8" t="s">
        <v>7</v>
      </c>
      <c r="N15" s="9" t="s">
        <v>7</v>
      </c>
      <c r="O15" s="9" t="s">
        <v>4</v>
      </c>
      <c r="P15" s="9"/>
      <c r="Q15" s="10"/>
      <c r="S15" s="8" t="s">
        <v>7</v>
      </c>
      <c r="T15" s="9" t="s">
        <v>7</v>
      </c>
      <c r="U15" s="9" t="s">
        <v>4</v>
      </c>
      <c r="V15" s="9"/>
      <c r="W15" s="10"/>
      <c r="Y15" s="8" t="s">
        <v>7</v>
      </c>
      <c r="Z15" s="9" t="s">
        <v>7</v>
      </c>
      <c r="AA15" s="9" t="s">
        <v>4</v>
      </c>
      <c r="AB15" s="9"/>
      <c r="AC15" s="10"/>
    </row>
    <row r="16" spans="1:29" ht="12.75">
      <c r="A16" s="8" t="s">
        <v>16</v>
      </c>
      <c r="B16" s="9" t="s">
        <v>11</v>
      </c>
      <c r="C16" s="9" t="s">
        <v>81</v>
      </c>
      <c r="D16" s="9"/>
      <c r="E16" s="10"/>
      <c r="G16" s="8" t="s">
        <v>16</v>
      </c>
      <c r="H16" s="9" t="s">
        <v>11</v>
      </c>
      <c r="I16" s="9" t="s">
        <v>81</v>
      </c>
      <c r="J16" s="9"/>
      <c r="K16" s="10"/>
      <c r="M16" s="8" t="s">
        <v>16</v>
      </c>
      <c r="N16" s="9" t="s">
        <v>11</v>
      </c>
      <c r="O16" s="9" t="s">
        <v>81</v>
      </c>
      <c r="P16" s="9"/>
      <c r="Q16" s="10"/>
      <c r="S16" s="8" t="s">
        <v>16</v>
      </c>
      <c r="T16" s="9" t="s">
        <v>11</v>
      </c>
      <c r="U16" s="9" t="s">
        <v>81</v>
      </c>
      <c r="V16" s="9"/>
      <c r="W16" s="10"/>
      <c r="Y16" s="8" t="s">
        <v>16</v>
      </c>
      <c r="Z16" s="9" t="s">
        <v>11</v>
      </c>
      <c r="AA16" s="9" t="s">
        <v>81</v>
      </c>
      <c r="AB16" s="9"/>
      <c r="AC16" s="10"/>
    </row>
    <row r="17" spans="1:29" ht="12.75">
      <c r="A17" s="20"/>
      <c r="B17" s="9" t="s">
        <v>5</v>
      </c>
      <c r="C17" s="9" t="s">
        <v>5</v>
      </c>
      <c r="D17" s="16"/>
      <c r="E17" s="17"/>
      <c r="G17" s="20"/>
      <c r="H17" s="9" t="s">
        <v>5</v>
      </c>
      <c r="I17" s="9" t="s">
        <v>5</v>
      </c>
      <c r="J17" s="16"/>
      <c r="K17" s="17"/>
      <c r="M17" s="34"/>
      <c r="N17" s="9" t="s">
        <v>5</v>
      </c>
      <c r="O17" s="9" t="s">
        <v>5</v>
      </c>
      <c r="P17" s="35"/>
      <c r="Q17" s="36"/>
      <c r="S17" s="34"/>
      <c r="T17" s="9" t="s">
        <v>5</v>
      </c>
      <c r="U17" s="9" t="s">
        <v>5</v>
      </c>
      <c r="V17" s="35"/>
      <c r="W17" s="36"/>
      <c r="Y17" s="34"/>
      <c r="Z17" s="9" t="s">
        <v>5</v>
      </c>
      <c r="AA17" s="9" t="s">
        <v>5</v>
      </c>
      <c r="AB17" s="35"/>
      <c r="AC17" s="36"/>
    </row>
    <row r="18" spans="1:29" ht="12.75">
      <c r="A18" s="20"/>
      <c r="B18" s="9"/>
      <c r="C18" s="9"/>
      <c r="D18" s="16"/>
      <c r="E18" s="17"/>
      <c r="G18" s="20"/>
      <c r="H18" s="9"/>
      <c r="I18" s="9"/>
      <c r="J18" s="16"/>
      <c r="K18" s="17"/>
      <c r="M18" s="34"/>
      <c r="N18" s="9"/>
      <c r="O18" s="9"/>
      <c r="P18" s="35"/>
      <c r="Q18" s="36"/>
      <c r="S18" s="34"/>
      <c r="T18" s="9"/>
      <c r="U18" s="9"/>
      <c r="V18" s="35"/>
      <c r="W18" s="36"/>
      <c r="Y18" s="34"/>
      <c r="Z18" s="9"/>
      <c r="AA18" s="9"/>
      <c r="AB18" s="35"/>
      <c r="AC18" s="36"/>
    </row>
    <row r="19" spans="1:29" ht="12.75">
      <c r="A19" s="46">
        <v>0</v>
      </c>
      <c r="B19" s="15">
        <f aca="true" t="shared" si="0" ref="B19:B36">$F$45+E$6*$F$43+$A19*$F$44</f>
        <v>21.8</v>
      </c>
      <c r="C19" s="26">
        <f>IF(B$4=1,IF(B19&lt;=E$10,D$10,D$10-(B19-E$10)*TAN(PI()/180*B$10)),IF(B$4=2,"2 taper",IF(B19&lt;=E$10,D$10,IF(B19&lt;=E$11,D$10-(B19-E$10)*TAN(PI()/180*B$10),IF(B19&lt;=E$12,D$11-(B19-E$11)*TAN(PI()/180*B$11),D$12-(B19-E$12)*TAN(PI()/180*B$12))))))</f>
        <v>2.7249999999999974</v>
      </c>
      <c r="D19" s="26">
        <v>0</v>
      </c>
      <c r="E19" s="27"/>
      <c r="G19" s="46">
        <v>0</v>
      </c>
      <c r="H19" s="15">
        <f aca="true" t="shared" si="1" ref="H19:H42">$F$45+K$6*$F$43+$A19*$F$44</f>
        <v>21.8</v>
      </c>
      <c r="I19" s="26">
        <f>IF(H$4=1,IF(H19&lt;=K$10,J$10,J$10-(H19-K$10)*TAN(PI()/180*H$10)),IF(H$4=2,"2 taper",IF(H19&lt;=K$10,J$10,IF(H19&lt;=K$11,J$10-(H19-K$10)*TAN(PI()/180*H$10),IF(H19&lt;=K$12,J$11-(H19-K$11)*TAN(PI()/180*H$11),J$12-(H19-K$12)*TAN(PI()/180*H$12))))))</f>
        <v>2.7249999999999974</v>
      </c>
      <c r="J19" s="26">
        <f>((((C19+C20+C21)/3)^2-((I19+I20+I21)/3)^2)/($F$46-((C19+C20+C21)/3)^2))*30</f>
        <v>0</v>
      </c>
      <c r="K19" s="27">
        <f>2.5*(H$5-$B$5)+20*(((($B$7/100)^(-$F$49)+($F$47-(($C19+$C20+$C21+$C22)/4)^2)^(-$F$48))/((H$7/100)^(-$F$49)+($F$47-((I19+I20+I21+I22)/4)^2)^(-$F$48)))^$F$50-1)+H13+J13</f>
        <v>0.01951098812803309</v>
      </c>
      <c r="M19" s="46">
        <v>0</v>
      </c>
      <c r="N19" s="15">
        <f aca="true" t="shared" si="2" ref="N19:N42">$F$45+Q$6*$F$43+$A19*$F$44</f>
        <v>21.8</v>
      </c>
      <c r="O19" s="26" t="e">
        <f>IF(N$4=1,IF(N19&lt;=Q$10,P$10,P$10-(N19-Q$10)*TAN(PI()/180*N$10)),IF(N$4=2,"2 taper",IF(N19&lt;=Q$10,P$10,IF(N19&lt;=Q$11,P$10-(N19-Q$10)*TAN(PI()/180*N$10),IF(N19&lt;=Q$12,P$11-(N19-Q$11)*TAN(PI()/180*N$11),P$12-(N19-Q$12)*TAN(PI()/180*N$12))))))</f>
        <v>#N/A</v>
      </c>
      <c r="P19" s="26" t="e">
        <f>((((C19+C20+C21)/3)^2-((O19+O20+O21)/3)^2)/($F$46-((C19+C20+C21)/3)^2))*30</f>
        <v>#N/A</v>
      </c>
      <c r="Q19" s="27" t="e">
        <f>2.5*(N$5-$B$5)+20*(((($B$7/100)^(-$F$49)+($F$47-(($C19+$C20+$C21+$C22)/4)^2)^(-$F$48))/((N$7/100)^(-$F$49)+($F$47-((O19+O20+O21+O22)/4)^2)^(-$F$48)))^$F$50-1)+N13+P13</f>
        <v>#N/A</v>
      </c>
      <c r="S19" s="46">
        <v>0</v>
      </c>
      <c r="T19" s="15">
        <f aca="true" t="shared" si="3" ref="T19:T42">$F$45+W$6*$F$43+$A19*$F$44</f>
        <v>21.8</v>
      </c>
      <c r="U19" s="26" t="e">
        <f>IF(T$4=1,IF(T19&lt;=W$10,V$10,V$10-(T19-W$10)*TAN(PI()/180*T$10)),IF(T$4=2,"2 taper",IF(T19&lt;=W$10,V$10,IF(T19&lt;=W$11,V$10-(T19-W$10)*TAN(PI()/180*T$10),IF(T19&lt;=W$12,V$11-(T19-W$11)*TAN(PI()/180*T$11),V$12-(T19-W$12)*TAN(PI()/180*T$12))))))</f>
        <v>#N/A</v>
      </c>
      <c r="V19" s="26" t="e">
        <f>((((I19+I20+I21)/3)^2-((U19+U20+U21)/3)^2)/($F$46-((I19+I20+I21)/3)^2))*30</f>
        <v>#N/A</v>
      </c>
      <c r="W19" s="27" t="e">
        <f>2.5*(T$5-$B$5)+20*(((($B$7/100)^(-$F$49)+($F$47-(($C19+$C20+$C21+$C22)/4)^2)^(-$F$48))/((T$7/100)^(-$F$49)+($F$47-((U19+U20+U21+U22)/4)^2)^(-$F$48)))^$F$50-1)+T13+V13</f>
        <v>#N/A</v>
      </c>
      <c r="Y19" s="46">
        <v>0</v>
      </c>
      <c r="Z19" s="15">
        <f aca="true" t="shared" si="4" ref="Z19:Z42">$F$45+AC$6*$F$43+$A19*$F$44</f>
        <v>21.8</v>
      </c>
      <c r="AA19" s="26" t="e">
        <f>IF(Z$4=1,IF(Z19&lt;=AC$10,AB$10,AB$10-(Z19-AC$10)*TAN(PI()/180*Z$10)),IF(Z$4=2,"2 taper",IF(Z19&lt;=AC$10,AB$10,IF(Z19&lt;=AC$11,AB$10-(Z19-AC$10)*TAN(PI()/180*Z$10),IF(Z19&lt;=AC$12,AB$11-(Z19-AC$11)*TAN(PI()/180*Z$11),AB$12-(Z19-AC$12)*TAN(PI()/180*Z$12))))))</f>
        <v>#N/A</v>
      </c>
      <c r="AB19" s="26" t="e">
        <f>((((O19+O20+O21)/3)^2-((AA19+AA20+AA21)/3)^2)/($F$46-((O19+O20+O21)/3)^2))*30</f>
        <v>#N/A</v>
      </c>
      <c r="AC19" s="27" t="e">
        <f>2.5*(Z$5-$B$5)+20*(((($B$7/100)^(-$F$49)+($F$47-(($C19+$C20+$C21+$C22)/4)^2)^(-$F$48))/((Z$7/100)^(-$F$49)+($F$47-((AA19+AA20+AA21+AA22)/4)^2)^(-$F$48)))^$F$50-1)+Z13+AB13</f>
        <v>#N/A</v>
      </c>
    </row>
    <row r="20" spans="1:29" ht="12.75">
      <c r="A20" s="46">
        <f>A19+0.05</f>
        <v>0.05</v>
      </c>
      <c r="B20" s="15">
        <f t="shared" si="0"/>
        <v>23.7</v>
      </c>
      <c r="C20" s="26">
        <f>IF(B$4=1,IF(B20&lt;=E$10,D$10,D$10-(B20-E$10)*TAN(PI()/180*B$10)),IF(B$4=2,"2 taper",IF(B20&lt;=E$10,D$10,IF(B20&lt;=E$11,D$10-(B20-E$10)*TAN(PI()/180*B$10),IF(B20&lt;=E$12,D$11-(B20-E$11)*TAN(PI()/180*B$11),D$12-(B20-E$12)*TAN(PI()/180*B$12))))))</f>
        <v>2.7249999999999974</v>
      </c>
      <c r="D20" s="26">
        <v>0</v>
      </c>
      <c r="E20" s="27"/>
      <c r="G20" s="46">
        <f>G19+0.05</f>
        <v>0.05</v>
      </c>
      <c r="H20" s="15">
        <f t="shared" si="1"/>
        <v>23.7</v>
      </c>
      <c r="I20" s="26">
        <f>IF(H$4=1,IF(H20&lt;=K$10,J$10,J$10-(H20-K$10)*TAN(PI()/180*H$10)),IF(H$4=2,"2 taper",IF(H20&lt;=K$10,J$10,IF(H20&lt;=K$11,J$10-(H20-K$10)*TAN(PI()/180*H$10),IF(H20&lt;=K$12,J$11-(H20-K$11)*TAN(PI()/180*H$11),J$12-(H20-K$12)*TAN(PI()/180*H$12))))))</f>
        <v>2.7249999999999974</v>
      </c>
      <c r="J20" s="26">
        <f>((((C20+C21+C22)/3)^2-((I20+I21+I22)/3)^2)/($F$46-((C20+C21+C22)/3)^2))*65</f>
        <v>0</v>
      </c>
      <c r="K20" s="27">
        <f>1.5*(H$5-$B$5)+65*(((($B$7/100)^(-$F$49)+($F$47-(($C20+$C21+$C22+$C23)/4)^2)^(-$F$48))/((H$7/100)^(-$F$49)+($F$47-((I20+I21+I22+I23)/4)^2)^(-$F$48)))^$F$50-1)+H13+J13</f>
        <v>0.06341071141610755</v>
      </c>
      <c r="M20" s="46">
        <f>M19+0.05</f>
        <v>0.05</v>
      </c>
      <c r="N20" s="15">
        <f t="shared" si="2"/>
        <v>23.7</v>
      </c>
      <c r="O20" s="26" t="e">
        <f>IF(N$4=1,IF(N20&lt;=Q$10,P$10,P$10-(N20-Q$10)*TAN(PI()/180*N$10)),IF(N$4=2,"2 taper",IF(N20&lt;=Q$10,P$10,IF(N20&lt;=Q$11,P$10-(N20-Q$10)*TAN(PI()/180*N$10),IF(N20&lt;=Q$12,P$11-(N20-Q$11)*TAN(PI()/180*N$11),P$12-(N20-Q$12)*TAN(PI()/180*N$12))))))</f>
        <v>#N/A</v>
      </c>
      <c r="P20" s="26" t="e">
        <f>((((C20+C21+C22)/3)^2-((O20+O21+O22)/3)^2)/($F$46-((C20+C21+C22)/3)^2))*65</f>
        <v>#N/A</v>
      </c>
      <c r="Q20" s="27" t="e">
        <f>1.5*(N$5-$B$5)+65*(((($B$7/100)^(-$F$49)+($F$47-(($C20+$C21+$C22+$C23)/4)^2)^(-$F$48))/((N$7/100)^(-$F$49)+($F$47-((O20+O21+O22+O23)/4)^2)^(-$F$48)))^$F$50-1)+N13+P13</f>
        <v>#N/A</v>
      </c>
      <c r="S20" s="46">
        <f>S19+0.05</f>
        <v>0.05</v>
      </c>
      <c r="T20" s="15">
        <f t="shared" si="3"/>
        <v>23.7</v>
      </c>
      <c r="U20" s="26" t="e">
        <f>IF(T$4=1,IF(T20&lt;=W$10,V$10,V$10-(T20-W$10)*TAN(PI()/180*T$10)),IF(T$4=2,"2 taper",IF(T20&lt;=W$10,V$10,IF(T20&lt;=W$11,V$10-(T20-W$10)*TAN(PI()/180*T$10),IF(T20&lt;=W$12,V$11-(T20-W$11)*TAN(PI()/180*T$11),V$12-(T20-W$12)*TAN(PI()/180*T$12))))))</f>
        <v>#N/A</v>
      </c>
      <c r="V20" s="26" t="e">
        <f>((((I20+I21+I22)/3)^2-((U20+U21+U22)/3)^2)/($F$46-((I20+I21+I22)/3)^2))*65</f>
        <v>#N/A</v>
      </c>
      <c r="W20" s="27" t="e">
        <f>1.5*(T$5-$B$5)+65*(((($B$7/100)^(-$F$49)+($F$47-(($C20+$C21+$C22+$C23)/4)^2)^(-$F$48))/((T$7/100)^(-$F$49)+($F$47-((U20+U21+U22+U23)/4)^2)^(-$F$48)))^$F$50-1)+T13+V13</f>
        <v>#N/A</v>
      </c>
      <c r="Y20" s="46">
        <f>Y19+0.05</f>
        <v>0.05</v>
      </c>
      <c r="Z20" s="15">
        <f t="shared" si="4"/>
        <v>23.7</v>
      </c>
      <c r="AA20" s="26" t="e">
        <f>IF(Z$4=1,IF(Z20&lt;=AC$10,AB$10,AB$10-(Z20-AC$10)*TAN(PI()/180*Z$10)),IF(Z$4=2,"2 taper",IF(Z20&lt;=AC$10,AB$10,IF(Z20&lt;=AC$11,AB$10-(Z20-AC$10)*TAN(PI()/180*Z$10),IF(Z20&lt;=AC$12,AB$11-(Z20-AC$11)*TAN(PI()/180*Z$11),AB$12-(Z20-AC$12)*TAN(PI()/180*Z$12))))))</f>
        <v>#N/A</v>
      </c>
      <c r="AB20" s="26" t="e">
        <f>((((O20+O21+O22)/3)^2-((AA20+AA21+AA22)/3)^2)/($F$46-((O20+O21+O22)/3)^2))*65</f>
        <v>#N/A</v>
      </c>
      <c r="AC20" s="27" t="e">
        <f>1.5*(Z$5-$B$5)+65*(((($B$7/100)^(-$F$49)+($F$47-(($C20+$C21+$C22+$C23)/4)^2)^(-$F$48))/((Z$7/100)^(-$F$49)+($F$47-((AA20+AA21+AA22+AA23)/4)^2)^(-$F$48)))^$F$50-1)+Z13+AB13</f>
        <v>#N/A</v>
      </c>
    </row>
    <row r="21" spans="1:29" ht="12.75">
      <c r="A21" s="46">
        <f aca="true" t="shared" si="5" ref="A21:A42">A20+0.05</f>
        <v>0.1</v>
      </c>
      <c r="B21" s="15">
        <f t="shared" si="0"/>
        <v>25.6</v>
      </c>
      <c r="C21" s="26">
        <f aca="true" t="shared" si="6" ref="C21:C42">IF(B$4=1,IF(B21&lt;=E$10,D$10,D$10-(B21-E$10)*TAN(PI()/180*B$10)),IF(B$4=2,"2 taper",IF(B21&lt;=E$10,D$10,IF(B21&lt;=E$11,D$10-(B21-E$10)*TAN(PI()/180*B$10),IF(B21&lt;=E$12,D$11-(B21-E$11)*TAN(PI()/180*B$11),D$12-(B21-E$12)*TAN(PI()/180*B$12))))))</f>
        <v>2.7249999999999974</v>
      </c>
      <c r="D21" s="26">
        <v>0</v>
      </c>
      <c r="E21" s="27"/>
      <c r="G21" s="46">
        <f aca="true" t="shared" si="7" ref="G21:G42">G20+0.05</f>
        <v>0.1</v>
      </c>
      <c r="H21" s="15">
        <f t="shared" si="1"/>
        <v>25.6</v>
      </c>
      <c r="I21" s="26">
        <f aca="true" t="shared" si="8" ref="I21:I38">IF(H$4=1,IF(H21&lt;=K$10,J$10,J$10-(H21-K$10)*TAN(PI()/180*H$10)),IF(H$4=2,"2 taper",IF(H21&lt;=K$10,J$10,IF(H21&lt;=K$11,J$10-(H21-K$10)*TAN(PI()/180*H$10),IF(H21&lt;=K$12,J$11-(H21-K$11)*TAN(PI()/180*H$11),J$12-(H21-K$12)*TAN(PI()/180*H$12))))))</f>
        <v>2.7249999999999974</v>
      </c>
      <c r="J21" s="26">
        <f>((((C21+C22+C23)/3)^2-((I21+I22+I23)/3)^2)/($F$46-((C21+C22+C23)/3)^2))*93</f>
        <v>0</v>
      </c>
      <c r="K21" s="27">
        <f>1*(H$5-$B$5)+93*(((($B$7/100)^(-$F$49)+($F$47-(($C21+$C22+$C23+$C24)/4)^2)^(-$F$48))/((H$7/100)^(-$F$49)+($F$47-((I21+I22+I23+I24)/4)^2)^(-$F$48)))^$F$50-1)+H13+J13</f>
        <v>0.10104102746594679</v>
      </c>
      <c r="M21" s="46">
        <f aca="true" t="shared" si="9" ref="M21:M42">M20+0.05</f>
        <v>0.1</v>
      </c>
      <c r="N21" s="15">
        <f t="shared" si="2"/>
        <v>25.6</v>
      </c>
      <c r="O21" s="26" t="e">
        <f aca="true" t="shared" si="10" ref="O21:O38">IF(N$4=1,IF(N21&lt;=Q$10,P$10,P$10-(N21-Q$10)*TAN(PI()/180*N$10)),IF(N$4=2,"2 taper",IF(N21&lt;=Q$10,P$10,IF(N21&lt;=Q$11,P$10-(N21-Q$10)*TAN(PI()/180*N$10),IF(N21&lt;=Q$12,P$11-(N21-Q$11)*TAN(PI()/180*N$11),P$12-(N21-Q$12)*TAN(PI()/180*N$12))))))</f>
        <v>#N/A</v>
      </c>
      <c r="P21" s="26" t="e">
        <f>((((C21+C22+C23)/3)^2-((O21+O22+O23)/3)^2)/($F$46-((C21+C22+C23)/3)^2))*93</f>
        <v>#N/A</v>
      </c>
      <c r="Q21" s="27" t="e">
        <f>1*(N$5-$B$5)+93*(((($B$7/100)^(-$F$49)+($F$47-(($C21+$C22+$C23+$C24)/4)^2)^(-$F$48))/((N$7/100)^(-$F$49)+($F$47-((O21+O22+O23+O24)/4)^2)^(-$F$48)))^$F$50-1)+N13+P13</f>
        <v>#N/A</v>
      </c>
      <c r="S21" s="46">
        <f aca="true" t="shared" si="11" ref="S21:S42">S20+0.05</f>
        <v>0.1</v>
      </c>
      <c r="T21" s="15">
        <f t="shared" si="3"/>
        <v>25.6</v>
      </c>
      <c r="U21" s="26" t="e">
        <f aca="true" t="shared" si="12" ref="U21:U38">IF(T$4=1,IF(T21&lt;=W$10,V$10,V$10-(T21-W$10)*TAN(PI()/180*T$10)),IF(T$4=2,"2 taper",IF(T21&lt;=W$10,V$10,IF(T21&lt;=W$11,V$10-(T21-W$10)*TAN(PI()/180*T$10),IF(T21&lt;=W$12,V$11-(T21-W$11)*TAN(PI()/180*T$11),V$12-(T21-W$12)*TAN(PI()/180*T$12))))))</f>
        <v>#N/A</v>
      </c>
      <c r="V21" s="26" t="e">
        <f>((((I21+I22+I23)/3)^2-((U21+U22+U23)/3)^2)/($F$46-((I21+I22+I23)/3)^2))*93</f>
        <v>#N/A</v>
      </c>
      <c r="W21" s="27" t="e">
        <f>1*(T$5-$B$5)+93*(((($B$7/100)^(-$F$49)+($F$47-(($C21+$C22+$C23+$C24)/4)^2)^(-$F$48))/((T$7/100)^(-$F$49)+($F$47-((U21+U22+U23+U24)/4)^2)^(-$F$48)))^$F$50-1)+T13+V13</f>
        <v>#N/A</v>
      </c>
      <c r="Y21" s="46">
        <f aca="true" t="shared" si="13" ref="Y21:Y42">Y20+0.05</f>
        <v>0.1</v>
      </c>
      <c r="Z21" s="15">
        <f t="shared" si="4"/>
        <v>25.6</v>
      </c>
      <c r="AA21" s="26" t="e">
        <f aca="true" t="shared" si="14" ref="AA21:AA38">IF(Z$4=1,IF(Z21&lt;=AC$10,AB$10,AB$10-(Z21-AC$10)*TAN(PI()/180*Z$10)),IF(Z$4=2,"2 taper",IF(Z21&lt;=AC$10,AB$10,IF(Z21&lt;=AC$11,AB$10-(Z21-AC$10)*TAN(PI()/180*Z$10),IF(Z21&lt;=AC$12,AB$11-(Z21-AC$11)*TAN(PI()/180*Z$11),AB$12-(Z21-AC$12)*TAN(PI()/180*Z$12))))))</f>
        <v>#N/A</v>
      </c>
      <c r="AB21" s="26" t="e">
        <f>((((O21+O22+O23)/3)^2-((AA21+AA22+AA23)/3)^2)/($F$46-((O21+O22+O23)/3)^2))*93</f>
        <v>#N/A</v>
      </c>
      <c r="AC21" s="27" t="e">
        <f>1*(Z$5-$B$5)+93*(((($B$7/100)^(-$F$49)+($F$47-(($C21+$C22+$C23+$C24)/4)^2)^(-$F$48))/((Z$7/100)^(-$F$49)+($F$47-((AA21+AA22+AA23+AA24)/4)^2)^(-$F$48)))^$F$50-1)+Z13+AB13</f>
        <v>#N/A</v>
      </c>
    </row>
    <row r="22" spans="1:29" ht="12.75">
      <c r="A22" s="46">
        <f t="shared" si="5"/>
        <v>0.15000000000000002</v>
      </c>
      <c r="B22" s="15">
        <f t="shared" si="0"/>
        <v>27.5</v>
      </c>
      <c r="C22" s="26">
        <f t="shared" si="6"/>
        <v>2.7249999999999974</v>
      </c>
      <c r="D22" s="26">
        <v>0</v>
      </c>
      <c r="E22" s="27"/>
      <c r="G22" s="46">
        <f t="shared" si="7"/>
        <v>0.15000000000000002</v>
      </c>
      <c r="H22" s="15">
        <f t="shared" si="1"/>
        <v>27.5</v>
      </c>
      <c r="I22" s="26">
        <f t="shared" si="8"/>
        <v>2.7249999999999974</v>
      </c>
      <c r="J22" s="26">
        <f>((((C22+C23+C24)/3)^2-((I22+I23+I24)/3)^2)/($F$46-((C22+C23+C24)/3)^2))*100</f>
        <v>0</v>
      </c>
      <c r="K22" s="27">
        <f>0.65*(H$5-$B$5)+100*(((($B$7/100)^(-$F$49)+($F$47-(($C22+$C23+$C24+$C25)/4)^2)^(-$F$48))/((H$7/100)^(-$F$49)+($F$47-((I22+I23+I24+I25)/4)^2)^(-$F$48)))^$F$50-1)+H13+J13</f>
        <v>0.1457656553580433</v>
      </c>
      <c r="M22" s="46">
        <f t="shared" si="9"/>
        <v>0.15000000000000002</v>
      </c>
      <c r="N22" s="15">
        <f t="shared" si="2"/>
        <v>27.5</v>
      </c>
      <c r="O22" s="26" t="e">
        <f t="shared" si="10"/>
        <v>#N/A</v>
      </c>
      <c r="P22" s="26" t="e">
        <f>((((C22+C23+C24)/3)^2-((O22+O23+O24)/3)^2)/($F$46-((C22+C23+C24)/3)^2))*100</f>
        <v>#N/A</v>
      </c>
      <c r="Q22" s="27" t="e">
        <f>0.65*(N$5-$B$5)+100*(((($B$7/100)^(-$F$49)+($F$47-(($C22+$C23+$C24+$C25)/4)^2)^(-$F$48))/((N$7/100)^(-$F$49)+($F$47-((O22+O23+O24+O25)/4)^2)^(-$F$48)))^$F$50-1)+N13+P13</f>
        <v>#N/A</v>
      </c>
      <c r="S22" s="46">
        <f t="shared" si="11"/>
        <v>0.15000000000000002</v>
      </c>
      <c r="T22" s="15">
        <f t="shared" si="3"/>
        <v>27.5</v>
      </c>
      <c r="U22" s="26" t="e">
        <f t="shared" si="12"/>
        <v>#N/A</v>
      </c>
      <c r="V22" s="26" t="e">
        <f>((((I22+I23+I24)/3)^2-((U22+U23+U24)/3)^2)/($F$46-((I22+I23+I24)/3)^2))*100</f>
        <v>#N/A</v>
      </c>
      <c r="W22" s="27" t="e">
        <f>0.65*(T$5-$B$5)+100*(((($B$7/100)^(-$F$49)+($F$47-(($C22+$C23+$C24+$C25)/4)^2)^(-$F$48))/((T$7/100)^(-$F$49)+($F$47-((U22+U23+U24+U25)/4)^2)^(-$F$48)))^$F$50-1)+T13+V13</f>
        <v>#N/A</v>
      </c>
      <c r="Y22" s="46">
        <f t="shared" si="13"/>
        <v>0.15000000000000002</v>
      </c>
      <c r="Z22" s="15">
        <f t="shared" si="4"/>
        <v>27.5</v>
      </c>
      <c r="AA22" s="26" t="e">
        <f t="shared" si="14"/>
        <v>#N/A</v>
      </c>
      <c r="AB22" s="26" t="e">
        <f>((((O22+O23+O24)/3)^2-((AA22+AA23+AA24)/3)^2)/($F$46-((O22+O23+O24)/3)^2))*100</f>
        <v>#N/A</v>
      </c>
      <c r="AC22" s="27" t="e">
        <f>0.65*(Z$5-$B$5)+100*(((($B$7/100)^(-$F$49)+($F$47-(($C22+$C23+$C24+$C25)/4)^2)^(-$F$48))/((Z$7/100)^(-$F$49)+($F$47-((AA22+AA23+AA24+AA25)/4)^2)^(-$F$48)))^$F$50-1)+Z13+AB13</f>
        <v>#N/A</v>
      </c>
    </row>
    <row r="23" spans="1:29" ht="12.75">
      <c r="A23" s="46">
        <f t="shared" si="5"/>
        <v>0.2</v>
      </c>
      <c r="B23" s="15">
        <f t="shared" si="0"/>
        <v>29.400000000000002</v>
      </c>
      <c r="C23" s="26">
        <f t="shared" si="6"/>
        <v>2.7249999999999974</v>
      </c>
      <c r="D23" s="26">
        <v>0</v>
      </c>
      <c r="E23" s="27"/>
      <c r="G23" s="46">
        <f t="shared" si="7"/>
        <v>0.2</v>
      </c>
      <c r="H23" s="15">
        <f t="shared" si="1"/>
        <v>29.400000000000002</v>
      </c>
      <c r="I23" s="26">
        <f t="shared" si="8"/>
        <v>2.7249999999999974</v>
      </c>
      <c r="J23" s="26">
        <f>((((C23+C24+C25)/3)^2-((I23+I24+I25)/3)^2)/($F$46-((C23+C24+C25)/3)^2))*100</f>
        <v>0</v>
      </c>
      <c r="K23" s="27">
        <f>0.4*(H$5-$B$5)+100*(((($B$7/100)^(-$F$49)+($F$47-(($C23+$C24+$C25+$C26)/4)^2)^(-$F$48))/((H$7/100)^(-$F$49)+($F$47-((I23+I24+I25+I26)/4)^2)^(-$F$48)))^$F$50-1)+H13+J13</f>
        <v>0.22248526180985717</v>
      </c>
      <c r="M23" s="46">
        <f t="shared" si="9"/>
        <v>0.2</v>
      </c>
      <c r="N23" s="15">
        <f t="shared" si="2"/>
        <v>29.400000000000002</v>
      </c>
      <c r="O23" s="26" t="e">
        <f t="shared" si="10"/>
        <v>#N/A</v>
      </c>
      <c r="P23" s="26" t="e">
        <f>((((C23+C24+C25)/3)^2-((O23+O24+O25)/3)^2)/($F$46-((C23+C24+C25)/3)^2))*100</f>
        <v>#N/A</v>
      </c>
      <c r="Q23" s="27" t="e">
        <f>0.4*(N$5-$B$5)+100*(((($B$7/100)^(-$F$49)+($F$47-(($C23+$C24+$C25+$C26)/4)^2)^(-$F$48))/((N$7/100)^(-$F$49)+($F$47-((O23+O24+O25+O26)/4)^2)^(-$F$48)))^$F$50-1)+N13+P13</f>
        <v>#N/A</v>
      </c>
      <c r="S23" s="46">
        <f t="shared" si="11"/>
        <v>0.2</v>
      </c>
      <c r="T23" s="15">
        <f t="shared" si="3"/>
        <v>29.400000000000002</v>
      </c>
      <c r="U23" s="26" t="e">
        <f t="shared" si="12"/>
        <v>#N/A</v>
      </c>
      <c r="V23" s="26" t="e">
        <f>((((I23+I24+I25)/3)^2-((U23+U24+U25)/3)^2)/($F$46-((I23+I24+I25)/3)^2))*100</f>
        <v>#N/A</v>
      </c>
      <c r="W23" s="27" t="e">
        <f>0.4*(T$5-$B$5)+100*(((($B$7/100)^(-$F$49)+($F$47-(($C23+$C24+$C25+$C26)/4)^2)^(-$F$48))/((T$7/100)^(-$F$49)+($F$47-((U23+U24+U25+U26)/4)^2)^(-$F$48)))^$F$50-1)+T13+V13</f>
        <v>#N/A</v>
      </c>
      <c r="Y23" s="46">
        <f t="shared" si="13"/>
        <v>0.2</v>
      </c>
      <c r="Z23" s="15">
        <f t="shared" si="4"/>
        <v>29.400000000000002</v>
      </c>
      <c r="AA23" s="26" t="e">
        <f t="shared" si="14"/>
        <v>#N/A</v>
      </c>
      <c r="AB23" s="26" t="e">
        <f>((((O23+O24+O25)/3)^2-((AA23+AA24+AA25)/3)^2)/($F$46-((O23+O24+O25)/3)^2))*100</f>
        <v>#N/A</v>
      </c>
      <c r="AC23" s="27" t="e">
        <f>0.4*(Z$5-$B$5)+100*(((($B$7/100)^(-$F$49)+($F$47-(($C23+$C24+$C25+$C26)/4)^2)^(-$F$48))/((Z$7/100)^(-$F$49)+($F$47-((AA23+AA24+AA25+AA26)/4)^2)^(-$F$48)))^$F$50-1)+Z13+AB13</f>
        <v>#N/A</v>
      </c>
    </row>
    <row r="24" spans="1:29" ht="12.75">
      <c r="A24" s="46">
        <f t="shared" si="5"/>
        <v>0.25</v>
      </c>
      <c r="B24" s="15">
        <f t="shared" si="0"/>
        <v>31.3</v>
      </c>
      <c r="C24" s="26">
        <f t="shared" si="6"/>
        <v>2.703743671431593</v>
      </c>
      <c r="D24" s="26">
        <v>0</v>
      </c>
      <c r="E24" s="27"/>
      <c r="G24" s="46">
        <f t="shared" si="7"/>
        <v>0.25</v>
      </c>
      <c r="H24" s="15">
        <f t="shared" si="1"/>
        <v>31.3</v>
      </c>
      <c r="I24" s="26">
        <f t="shared" si="8"/>
        <v>2.703743671431593</v>
      </c>
      <c r="J24" s="26">
        <f>((((C24+C25+C26)/3)^2-((I24+I25+I26)/3)^2)/($F$46-((C24+C25+C26)/3)^2))*100</f>
        <v>0</v>
      </c>
      <c r="K24" s="27">
        <f>0.25*(H$5-$B$5)+100*(((($B$7/100)^(-$F$49)+($F$47-(($C24+$C25+$C26+$C27)/4)^2)^(-$F$48))/((H$7/100)^(-$F$49)+($F$47-((I24+I25+I26+I27)/4)^2)^(-$F$48)))^$F$50-1)+H13+J13</f>
        <v>0.3619274949454576</v>
      </c>
      <c r="M24" s="46">
        <f t="shared" si="9"/>
        <v>0.25</v>
      </c>
      <c r="N24" s="15">
        <f t="shared" si="2"/>
        <v>31.3</v>
      </c>
      <c r="O24" s="26" t="e">
        <f t="shared" si="10"/>
        <v>#N/A</v>
      </c>
      <c r="P24" s="26" t="e">
        <f>((((C24+C25+C26)/3)^2-((O24+O25+O26)/3)^2)/($F$46-((C24+C25+C26)/3)^2))*100</f>
        <v>#N/A</v>
      </c>
      <c r="Q24" s="27" t="e">
        <f>0.25*(N$5-$B$5)+100*(((($B$7/100)^(-$F$49)+($F$47-(($C24+$C25+$C26+$C27)/4)^2)^(-$F$48))/((N$7/100)^(-$F$49)+($F$47-((O24+O25+O26+O27)/4)^2)^(-$F$48)))^$F$50-1)+N13+P13</f>
        <v>#N/A</v>
      </c>
      <c r="S24" s="46">
        <f t="shared" si="11"/>
        <v>0.25</v>
      </c>
      <c r="T24" s="15">
        <f t="shared" si="3"/>
        <v>31.3</v>
      </c>
      <c r="U24" s="26" t="e">
        <f t="shared" si="12"/>
        <v>#N/A</v>
      </c>
      <c r="V24" s="26" t="e">
        <f>((((I24+I25+I26)/3)^2-((U24+U25+U26)/3)^2)/($F$46-((I24+I25+I26)/3)^2))*100</f>
        <v>#N/A</v>
      </c>
      <c r="W24" s="27" t="e">
        <f>0.25*(T$5-$B$5)+100*(((($B$7/100)^(-$F$49)+($F$47-(($C24+$C25+$C26+$C27)/4)^2)^(-$F$48))/((T$7/100)^(-$F$49)+($F$47-((U24+U25+U26+U27)/4)^2)^(-$F$48)))^$F$50-1)+T13+V13</f>
        <v>#N/A</v>
      </c>
      <c r="Y24" s="46">
        <f t="shared" si="13"/>
        <v>0.25</v>
      </c>
      <c r="Z24" s="15">
        <f t="shared" si="4"/>
        <v>31.3</v>
      </c>
      <c r="AA24" s="26" t="e">
        <f t="shared" si="14"/>
        <v>#N/A</v>
      </c>
      <c r="AB24" s="26" t="e">
        <f>((((O24+O25+O26)/3)^2-((AA24+AA25+AA26)/3)^2)/($F$46-((O24+O25+O26)/3)^2))*100</f>
        <v>#N/A</v>
      </c>
      <c r="AC24" s="27" t="e">
        <f>0.25*(Z$5-$B$5)+100*(((($B$7/100)^(-$F$49)+($F$47-(($C24+$C25+$C26+$C27)/4)^2)^(-$F$48))/((Z$7/100)^(-$F$49)+($F$47-((AA24+AA25+AA26+AA27)/4)^2)^(-$F$48)))^$F$50-1)+Z13+AB13</f>
        <v>#N/A</v>
      </c>
    </row>
    <row r="25" spans="1:29" ht="12.75">
      <c r="A25" s="46">
        <f t="shared" si="5"/>
        <v>0.3</v>
      </c>
      <c r="B25" s="15">
        <f t="shared" si="0"/>
        <v>33.2</v>
      </c>
      <c r="C25" s="26">
        <f t="shared" si="6"/>
        <v>2.662285523949509</v>
      </c>
      <c r="D25" s="26">
        <v>0</v>
      </c>
      <c r="E25" s="27"/>
      <c r="G25" s="46">
        <f t="shared" si="7"/>
        <v>0.3</v>
      </c>
      <c r="H25" s="15">
        <f t="shared" si="1"/>
        <v>33.2</v>
      </c>
      <c r="I25" s="26">
        <f t="shared" si="8"/>
        <v>2.662285523949509</v>
      </c>
      <c r="J25" s="26">
        <f>((((C25+C26+C27)/3)^2-((I25+I26+I27)/3)^2)/($F$46-((C25+C26+C27)/3)^2))*100</f>
        <v>0</v>
      </c>
      <c r="K25" s="27">
        <f>0.1*(H$5-$B$5)+100*(((($B$7/100)^(-$F$49)+($F$47-(($C25+$C26+$C27+$C28)/4)^2)^(-$F$48))/((H$7/100)^(-$F$49)+($F$47-((I25+I26+I27+I28)/4)^2)^(-$F$48)))^$F$50-1)+H13+J13</f>
        <v>0.5643267314706879</v>
      </c>
      <c r="M25" s="46">
        <f t="shared" si="9"/>
        <v>0.3</v>
      </c>
      <c r="N25" s="15">
        <f t="shared" si="2"/>
        <v>33.2</v>
      </c>
      <c r="O25" s="26" t="e">
        <f t="shared" si="10"/>
        <v>#N/A</v>
      </c>
      <c r="P25" s="26" t="e">
        <f>((((C25+C26+C27)/3)^2-((O25+O26+O27)/3)^2)/($F$46-((C25+C26+C27)/3)^2))*100</f>
        <v>#N/A</v>
      </c>
      <c r="Q25" s="27" t="e">
        <f>0.1*(N$5-$B$5)+100*(((($B$7/100)^(-$F$49)+($F$47-(($C25+$C26+$C27+$C28)/4)^2)^(-$F$48))/((N$7/100)^(-$F$49)+($F$47-((O25+O26+O27+O28)/4)^2)^(-$F$48)))^$F$50-1)+N13+P13</f>
        <v>#N/A</v>
      </c>
      <c r="S25" s="46">
        <f t="shared" si="11"/>
        <v>0.3</v>
      </c>
      <c r="T25" s="15">
        <f t="shared" si="3"/>
        <v>33.2</v>
      </c>
      <c r="U25" s="26" t="e">
        <f t="shared" si="12"/>
        <v>#N/A</v>
      </c>
      <c r="V25" s="26" t="e">
        <f>((((I25+I26+I27)/3)^2-((U25+U26+U27)/3)^2)/($F$46-((I25+I26+I27)/3)^2))*100</f>
        <v>#N/A</v>
      </c>
      <c r="W25" s="27" t="e">
        <f>0.1*(T$5-$B$5)+100*(((($B$7/100)^(-$F$49)+($F$47-(($C25+$C26+$C27+$C28)/4)^2)^(-$F$48))/((T$7/100)^(-$F$49)+($F$47-((U25+U26+U27+U28)/4)^2)^(-$F$48)))^$F$50-1)+T13+V13</f>
        <v>#N/A</v>
      </c>
      <c r="Y25" s="46">
        <f t="shared" si="13"/>
        <v>0.3</v>
      </c>
      <c r="Z25" s="15">
        <f t="shared" si="4"/>
        <v>33.2</v>
      </c>
      <c r="AA25" s="26" t="e">
        <f t="shared" si="14"/>
        <v>#N/A</v>
      </c>
      <c r="AB25" s="26" t="e">
        <f>((((O25+O26+O27)/3)^2-((AA25+AA26+AA27)/3)^2)/($F$46-((O25+O26+O27)/3)^2))*100</f>
        <v>#N/A</v>
      </c>
      <c r="AC25" s="27" t="e">
        <f>0.1*(Z$5-$B$5)+100*(((($B$7/100)^(-$F$49)+($F$47-(($C25+$C26+$C27+$C28)/4)^2)^(-$F$48))/((Z$7/100)^(-$F$49)+($F$47-((AA25+AA26+AA27+AA28)/4)^2)^(-$F$48)))^$F$50-1)+Z13+AB13</f>
        <v>#N/A</v>
      </c>
    </row>
    <row r="26" spans="1:29" ht="12.75">
      <c r="A26" s="46">
        <f t="shared" si="5"/>
        <v>0.35</v>
      </c>
      <c r="B26" s="15">
        <f t="shared" si="0"/>
        <v>35.1</v>
      </c>
      <c r="C26" s="26">
        <f t="shared" si="6"/>
        <v>2.620827376467425</v>
      </c>
      <c r="D26" s="26">
        <v>0</v>
      </c>
      <c r="E26" s="27"/>
      <c r="G26" s="46">
        <f t="shared" si="7"/>
        <v>0.35</v>
      </c>
      <c r="H26" s="15">
        <f t="shared" si="1"/>
        <v>35.1</v>
      </c>
      <c r="I26" s="26">
        <f t="shared" si="8"/>
        <v>2.620827376467425</v>
      </c>
      <c r="J26" s="26">
        <f>((((C26+C27+C28)/3)^2-((I26+I27+I28)/3)^2)/($F$46-((C26+C27+C28)/3)^2))*98</f>
        <v>0</v>
      </c>
      <c r="K26" s="27">
        <f>0.05*(H$5-$B$5)+100*(((($B$7/100)^(-$F$49)+($F$47-(($C26+$C27+$C28+$C29)/4)^2)^(-$F$48))/((H$7/100)^(-$F$49)+($F$47-((I26+I27+I28+I29)/4)^2)^(-$F$48)))^$F$50-1)+H13+J13</f>
        <v>0.8061715675890202</v>
      </c>
      <c r="M26" s="46">
        <f t="shared" si="9"/>
        <v>0.35</v>
      </c>
      <c r="N26" s="15">
        <f t="shared" si="2"/>
        <v>35.1</v>
      </c>
      <c r="O26" s="26" t="e">
        <f t="shared" si="10"/>
        <v>#N/A</v>
      </c>
      <c r="P26" s="26" t="e">
        <f>((((C26+C27+C28)/3)^2-((O26+O27+O28)/3)^2)/($F$46-((C26+C27+C28)/3)^2))*98</f>
        <v>#N/A</v>
      </c>
      <c r="Q26" s="27" t="e">
        <f>0.05*(N$5-$B$5)+100*(((($B$7/100)^(-$F$49)+($F$47-(($C26+$C27+$C28+$C29)/4)^2)^(-$F$48))/((N$7/100)^(-$F$49)+($F$47-((O26+O27+O28+O29)/4)^2)^(-$F$48)))^$F$50-1)+N13+P13</f>
        <v>#N/A</v>
      </c>
      <c r="S26" s="46">
        <f t="shared" si="11"/>
        <v>0.35</v>
      </c>
      <c r="T26" s="15">
        <f t="shared" si="3"/>
        <v>35.1</v>
      </c>
      <c r="U26" s="26" t="e">
        <f t="shared" si="12"/>
        <v>#N/A</v>
      </c>
      <c r="V26" s="26" t="e">
        <f>((((I26+I27+I28)/3)^2-((U26+U27+U28)/3)^2)/($F$46-((I26+I27+I28)/3)^2))*98</f>
        <v>#N/A</v>
      </c>
      <c r="W26" s="27" t="e">
        <f>0.05*(T$5-$B$5)+100*(((($B$7/100)^(-$F$49)+($F$47-(($C26+$C27+$C28+$C29)/4)^2)^(-$F$48))/((T$7/100)^(-$F$49)+($F$47-((U26+U27+U28+U29)/4)^2)^(-$F$48)))^$F$50-1)+T13+V13</f>
        <v>#N/A</v>
      </c>
      <c r="Y26" s="46">
        <f t="shared" si="13"/>
        <v>0.35</v>
      </c>
      <c r="Z26" s="15">
        <f t="shared" si="4"/>
        <v>35.1</v>
      </c>
      <c r="AA26" s="26" t="e">
        <f t="shared" si="14"/>
        <v>#N/A</v>
      </c>
      <c r="AB26" s="26" t="e">
        <f>((((O26+O27+O28)/3)^2-((AA26+AA27+AA28)/3)^2)/($F$46-((O26+O27+O28)/3)^2))*98</f>
        <v>#N/A</v>
      </c>
      <c r="AC26" s="27" t="e">
        <f>0.05*(Z$5-$B$5)+100*(((($B$7/100)^(-$F$49)+($F$47-(($C26+$C27+$C28+$C29)/4)^2)^(-$F$48))/((Z$7/100)^(-$F$49)+($F$47-((AA26+AA27+AA28+AA29)/4)^2)^(-$F$48)))^$F$50-1)+Z13+AB13</f>
        <v>#N/A</v>
      </c>
    </row>
    <row r="27" spans="1:29" ht="12.75">
      <c r="A27" s="46">
        <f t="shared" si="5"/>
        <v>0.39999999999999997</v>
      </c>
      <c r="B27" s="15">
        <f t="shared" si="0"/>
        <v>37</v>
      </c>
      <c r="C27" s="26">
        <f t="shared" si="6"/>
        <v>2.579369228985341</v>
      </c>
      <c r="D27" s="26">
        <v>0</v>
      </c>
      <c r="E27" s="27"/>
      <c r="G27" s="46">
        <f t="shared" si="7"/>
        <v>0.39999999999999997</v>
      </c>
      <c r="H27" s="15">
        <f t="shared" si="1"/>
        <v>37</v>
      </c>
      <c r="I27" s="26">
        <f t="shared" si="8"/>
        <v>2.579369228985341</v>
      </c>
      <c r="J27" s="26">
        <f>((((C27+C28+C29)/3)^2-((I27+I28+I29)/3)^2)/($F$46-((C27+C28+C29)/3)^2))*96</f>
        <v>0</v>
      </c>
      <c r="K27" s="27">
        <f>100*(((($B$7/100)^(-$F$49)+($F$47-(($C27+$C28+$C29+$C30)/4)^2)^(-$F$48))/((H$7/100)^(-$F$49)+($F$47-((I27+I28+I29+I30)/4)^2)^(-$F$48)))^$F$50-1)+H$13+J$13</f>
        <v>1.0765213171952448</v>
      </c>
      <c r="M27" s="46">
        <f t="shared" si="9"/>
        <v>0.39999999999999997</v>
      </c>
      <c r="N27" s="15">
        <f t="shared" si="2"/>
        <v>37</v>
      </c>
      <c r="O27" s="26" t="e">
        <f t="shared" si="10"/>
        <v>#N/A</v>
      </c>
      <c r="P27" s="26" t="e">
        <f>((((C27+C28+C29)/3)^2-((O27+O28+O29)/3)^2)/($F$46-((C27+C28+C29)/3)^2))*96</f>
        <v>#N/A</v>
      </c>
      <c r="Q27" s="27" t="e">
        <f>100*(((($B$7/100)^(-$F$49)+($F$47-(($C27+$C28+$C29+$C30)/4)^2)^(-$F$48))/((N$7/100)^(-$F$49)+($F$47-((O27+O28+O29+O30)/4)^2)^(-$F$48)))^$F$50-1)+N$13+P$13</f>
        <v>#N/A</v>
      </c>
      <c r="S27" s="46">
        <f t="shared" si="11"/>
        <v>0.39999999999999997</v>
      </c>
      <c r="T27" s="15">
        <f t="shared" si="3"/>
        <v>37</v>
      </c>
      <c r="U27" s="26" t="e">
        <f t="shared" si="12"/>
        <v>#N/A</v>
      </c>
      <c r="V27" s="26" t="e">
        <f>((((I27+I28+I29)/3)^2-((U27+U28+U29)/3)^2)/($F$46-((I27+I28+I29)/3)^2))*96</f>
        <v>#N/A</v>
      </c>
      <c r="W27" s="27" t="e">
        <f aca="true" t="shared" si="15" ref="W27:W39">100*(((($B$7/100)^(-$F$49)+($F$47-(($C27+$C28+$C29+$C30)/4)^2)^(-$F$48))/((T$7/100)^(-$F$49)+($F$47-((U27+U28+U29+U30)/4)^2)^(-$F$48)))^$F$50-1)+T$13+V$13</f>
        <v>#N/A</v>
      </c>
      <c r="Y27" s="46">
        <f t="shared" si="13"/>
        <v>0.39999999999999997</v>
      </c>
      <c r="Z27" s="15">
        <f t="shared" si="4"/>
        <v>37</v>
      </c>
      <c r="AA27" s="26" t="e">
        <f t="shared" si="14"/>
        <v>#N/A</v>
      </c>
      <c r="AB27" s="26" t="e">
        <f>((((O27+O28+O29)/3)^2-((AA27+AA28+AA29)/3)^2)/($F$46-((O27+O28+O29)/3)^2))*96</f>
        <v>#N/A</v>
      </c>
      <c r="AC27" s="27" t="e">
        <f aca="true" t="shared" si="16" ref="AC27:AC39">100*(((($B$7/100)^(-$F$49)+($F$47-(($C27+$C28+$C29+$C30)/4)^2)^(-$F$48))/((Z$7/100)^(-$F$49)+($F$47-((AA27+AA28+AA29+AA30)/4)^2)^(-$F$48)))^$F$50-1)+Z$13+AB$13</f>
        <v>#N/A</v>
      </c>
    </row>
    <row r="28" spans="1:29" ht="12.75">
      <c r="A28" s="46">
        <f t="shared" si="5"/>
        <v>0.44999999999999996</v>
      </c>
      <c r="B28" s="15">
        <f t="shared" si="0"/>
        <v>38.9</v>
      </c>
      <c r="C28" s="26">
        <f t="shared" si="6"/>
        <v>2.5379110815032573</v>
      </c>
      <c r="D28" s="26">
        <v>0</v>
      </c>
      <c r="E28" s="27"/>
      <c r="G28" s="46">
        <f t="shared" si="7"/>
        <v>0.44999999999999996</v>
      </c>
      <c r="H28" s="15">
        <f t="shared" si="1"/>
        <v>38.9</v>
      </c>
      <c r="I28" s="26">
        <f t="shared" si="8"/>
        <v>2.5379110815032573</v>
      </c>
      <c r="J28" s="26">
        <f>((((C28+C29+C30)/3)^2-((I28+I29+I30)/3)^2)/($F$46-((C28+C29+C30)/3)^2))*93</f>
        <v>0</v>
      </c>
      <c r="K28" s="27">
        <f>100*(((($B$7/100)^(-$F$49)+($F$47-(($C28+$C29+$C30+$C31)/4)^2)^(-$F$48))/((H$7/100)^(-$F$49)+($F$47-((I28+I29+I30+I31)/4)^2)^(-$F$48)))^$F$50-1)+H$13+J$13</f>
        <v>1.362797478879929</v>
      </c>
      <c r="M28" s="46">
        <f t="shared" si="9"/>
        <v>0.44999999999999996</v>
      </c>
      <c r="N28" s="15">
        <f t="shared" si="2"/>
        <v>38.9</v>
      </c>
      <c r="O28" s="26" t="e">
        <f t="shared" si="10"/>
        <v>#N/A</v>
      </c>
      <c r="P28" s="26" t="e">
        <f>((((C28+C29+C30)/3)^2-((O28+O29+O30)/3)^2)/($F$46-((C28+C29+C30)/3)^2))*93</f>
        <v>#N/A</v>
      </c>
      <c r="Q28" s="27" t="e">
        <f>100*(((($B$7/100)^(-$F$49)+($F$47-(($C28+$C29+$C30+$C31)/4)^2)^(-$F$48))/((N$7/100)^(-$F$49)+($F$47-((O28+O29+O30+O31)/4)^2)^(-$F$48)))^$F$50-1)+N$13+P$13</f>
        <v>#N/A</v>
      </c>
      <c r="S28" s="46">
        <f t="shared" si="11"/>
        <v>0.44999999999999996</v>
      </c>
      <c r="T28" s="15">
        <f t="shared" si="3"/>
        <v>38.9</v>
      </c>
      <c r="U28" s="26" t="e">
        <f t="shared" si="12"/>
        <v>#N/A</v>
      </c>
      <c r="V28" s="26" t="e">
        <f>((((I28+I29+I30)/3)^2-((U28+U29+U30)/3)^2)/($F$46-((I28+I29+I30)/3)^2))*93</f>
        <v>#N/A</v>
      </c>
      <c r="W28" s="27" t="e">
        <f t="shared" si="15"/>
        <v>#N/A</v>
      </c>
      <c r="Y28" s="46">
        <f t="shared" si="13"/>
        <v>0.44999999999999996</v>
      </c>
      <c r="Z28" s="15">
        <f t="shared" si="4"/>
        <v>38.9</v>
      </c>
      <c r="AA28" s="26" t="e">
        <f t="shared" si="14"/>
        <v>#N/A</v>
      </c>
      <c r="AB28" s="26" t="e">
        <f>((((O28+O29+O30)/3)^2-((AA28+AA29+AA30)/3)^2)/($F$46-((O28+O29+O30)/3)^2))*93</f>
        <v>#N/A</v>
      </c>
      <c r="AC28" s="27" t="e">
        <f t="shared" si="16"/>
        <v>#N/A</v>
      </c>
    </row>
    <row r="29" spans="1:29" ht="12.75">
      <c r="A29" s="46">
        <f t="shared" si="5"/>
        <v>0.49999999999999994</v>
      </c>
      <c r="B29" s="15">
        <f t="shared" si="0"/>
        <v>40.8</v>
      </c>
      <c r="C29" s="26">
        <f t="shared" si="6"/>
        <v>2.496452934021173</v>
      </c>
      <c r="D29" s="26">
        <v>0</v>
      </c>
      <c r="E29" s="27"/>
      <c r="G29" s="46">
        <f t="shared" si="7"/>
        <v>0.49999999999999994</v>
      </c>
      <c r="H29" s="15">
        <f t="shared" si="1"/>
        <v>40.8</v>
      </c>
      <c r="I29" s="26">
        <f t="shared" si="8"/>
        <v>2.496452934021173</v>
      </c>
      <c r="J29" s="26">
        <f>((((C29+C30+C31)/3)^2-((I29+I30+I31)/3)^2)/($F$46-((C29+C30+C31)/3)^2))*90</f>
        <v>0</v>
      </c>
      <c r="K29" s="27">
        <f aca="true" t="shared" si="17" ref="K29:K37">100*(((($B$7/100)^(-$F$49)+($F$47-(($C29+$C30+$C31+$C32)/4)^2)^(-$F$48))/((H$7/100)^(-$F$49)+($F$47-((I29+I30+I31+I32)/4)^2)^(-$F$48)))^$F$50-1)+H$13+J$13</f>
        <v>1.6528644818790905</v>
      </c>
      <c r="M29" s="46">
        <f t="shared" si="9"/>
        <v>0.49999999999999994</v>
      </c>
      <c r="N29" s="15">
        <f t="shared" si="2"/>
        <v>40.8</v>
      </c>
      <c r="O29" s="26" t="e">
        <f t="shared" si="10"/>
        <v>#N/A</v>
      </c>
      <c r="P29" s="26" t="e">
        <f>((((C29+C30+C31)/3)^2-((O29+O30+O31)/3)^2)/($F$46-((C29+C30+C31)/3)^2))*90</f>
        <v>#N/A</v>
      </c>
      <c r="Q29" s="27" t="e">
        <f>100*(((($B$7/100)^(-$F$49)+($F$47-(($C29+$C30+$C31+$C32)/4)^2)^(-$F$48))/((N$7/100)^(-$F$49)+($F$47-((O29+O30+O31+O32)/4)^2)^(-$F$48)))^$F$50-1)+N$13+P$13</f>
        <v>#N/A</v>
      </c>
      <c r="S29" s="46">
        <f t="shared" si="11"/>
        <v>0.49999999999999994</v>
      </c>
      <c r="T29" s="15">
        <f t="shared" si="3"/>
        <v>40.8</v>
      </c>
      <c r="U29" s="26" t="e">
        <f t="shared" si="12"/>
        <v>#N/A</v>
      </c>
      <c r="V29" s="26" t="e">
        <f>((((I29+I30+I31)/3)^2-((U29+U30+U31)/3)^2)/($F$46-((I29+I30+I31)/3)^2))*90</f>
        <v>#N/A</v>
      </c>
      <c r="W29" s="27" t="e">
        <f t="shared" si="15"/>
        <v>#N/A</v>
      </c>
      <c r="Y29" s="46">
        <f t="shared" si="13"/>
        <v>0.49999999999999994</v>
      </c>
      <c r="Z29" s="15">
        <f t="shared" si="4"/>
        <v>40.8</v>
      </c>
      <c r="AA29" s="26" t="e">
        <f t="shared" si="14"/>
        <v>#N/A</v>
      </c>
      <c r="AB29" s="26" t="e">
        <f>((((O29+O30+O31)/3)^2-((AA29+AA30+AA31)/3)^2)/($F$46-((O29+O30+O31)/3)^2))*90</f>
        <v>#N/A</v>
      </c>
      <c r="AC29" s="27" t="e">
        <f t="shared" si="16"/>
        <v>#N/A</v>
      </c>
    </row>
    <row r="30" spans="1:29" ht="12.75">
      <c r="A30" s="46">
        <f t="shared" si="5"/>
        <v>0.5499999999999999</v>
      </c>
      <c r="B30" s="15">
        <f t="shared" si="0"/>
        <v>42.7</v>
      </c>
      <c r="C30" s="26">
        <f t="shared" si="6"/>
        <v>2.454994786539089</v>
      </c>
      <c r="D30" s="26">
        <v>0</v>
      </c>
      <c r="E30" s="27"/>
      <c r="G30" s="46">
        <f t="shared" si="7"/>
        <v>0.5499999999999999</v>
      </c>
      <c r="H30" s="15">
        <f t="shared" si="1"/>
        <v>42.7</v>
      </c>
      <c r="I30" s="26">
        <f t="shared" si="8"/>
        <v>2.454994786539089</v>
      </c>
      <c r="J30" s="26">
        <f>((((C30+C31+C32)/3)^2-((I30+I31+I32)/3)^2)/($F$46-((C30+C31+C32)/3)^2))*85</f>
        <v>0</v>
      </c>
      <c r="K30" s="27">
        <f t="shared" si="17"/>
        <v>1.936514424721092</v>
      </c>
      <c r="M30" s="46">
        <f t="shared" si="9"/>
        <v>0.5499999999999999</v>
      </c>
      <c r="N30" s="15">
        <f t="shared" si="2"/>
        <v>42.7</v>
      </c>
      <c r="O30" s="26" t="e">
        <f t="shared" si="10"/>
        <v>#N/A</v>
      </c>
      <c r="P30" s="26" t="e">
        <f>((((C30+C31+C32)/3)^2-((O30+O31+O32)/3)^2)/($F$46-((C30+C31+C32)/3)^2))*85</f>
        <v>#N/A</v>
      </c>
      <c r="Q30" s="27" t="e">
        <f aca="true" t="shared" si="18" ref="Q30:Q37">100*(((($B$7/100)^(-$F$49)+($F$47-(($C30+$C31+$C32+$C33)/4)^2)^(-$F$48))/((N$7/100)^(-$F$49)+($F$47-((O30+O31+O32+O33)/4)^2)^(-$F$48)))^$F$50-1)+N$13+P$13</f>
        <v>#N/A</v>
      </c>
      <c r="S30" s="46">
        <f t="shared" si="11"/>
        <v>0.5499999999999999</v>
      </c>
      <c r="T30" s="15">
        <f t="shared" si="3"/>
        <v>42.7</v>
      </c>
      <c r="U30" s="26" t="e">
        <f t="shared" si="12"/>
        <v>#N/A</v>
      </c>
      <c r="V30" s="26" t="e">
        <f>((((I30+I31+I32)/3)^2-((U30+U31+U32)/3)^2)/($F$46-((I30+I31+I32)/3)^2))*85</f>
        <v>#N/A</v>
      </c>
      <c r="W30" s="27" t="e">
        <f t="shared" si="15"/>
        <v>#N/A</v>
      </c>
      <c r="Y30" s="46">
        <f t="shared" si="13"/>
        <v>0.5499999999999999</v>
      </c>
      <c r="Z30" s="15">
        <f t="shared" si="4"/>
        <v>42.7</v>
      </c>
      <c r="AA30" s="26" t="e">
        <f t="shared" si="14"/>
        <v>#N/A</v>
      </c>
      <c r="AB30" s="26" t="e">
        <f>((((O30+O31+O32)/3)^2-((AA30+AA31+AA32)/3)^2)/($F$46-((O30+O31+O32)/3)^2))*85</f>
        <v>#N/A</v>
      </c>
      <c r="AC30" s="27" t="e">
        <f t="shared" si="16"/>
        <v>#N/A</v>
      </c>
    </row>
    <row r="31" spans="1:29" ht="12.75">
      <c r="A31" s="46">
        <f t="shared" si="5"/>
        <v>0.6</v>
      </c>
      <c r="B31" s="15">
        <f t="shared" si="0"/>
        <v>44.6</v>
      </c>
      <c r="C31" s="26">
        <f t="shared" si="6"/>
        <v>2.413536639057005</v>
      </c>
      <c r="D31" s="26">
        <v>0</v>
      </c>
      <c r="E31" s="27"/>
      <c r="G31" s="46">
        <f t="shared" si="7"/>
        <v>0.6</v>
      </c>
      <c r="H31" s="15">
        <f t="shared" si="1"/>
        <v>44.6</v>
      </c>
      <c r="I31" s="26">
        <f t="shared" si="8"/>
        <v>2.413536639057005</v>
      </c>
      <c r="J31" s="26">
        <f>((((C31+C32+C33)/3)^2-((I31+I32+I33)/3)^2)/($F$46-((C31+C32+C33)/3)^2))*79</f>
        <v>0</v>
      </c>
      <c r="K31" s="27">
        <f t="shared" si="17"/>
        <v>2.2061800225344763</v>
      </c>
      <c r="M31" s="46">
        <f t="shared" si="9"/>
        <v>0.6</v>
      </c>
      <c r="N31" s="15">
        <f t="shared" si="2"/>
        <v>44.6</v>
      </c>
      <c r="O31" s="26" t="e">
        <f t="shared" si="10"/>
        <v>#N/A</v>
      </c>
      <c r="P31" s="26" t="e">
        <f>((((C31+C32+C33)/3)^2-((O31+O32+O33)/3)^2)/($F$46-((C31+C32+C33)/3)^2))*79</f>
        <v>#N/A</v>
      </c>
      <c r="Q31" s="27" t="e">
        <f t="shared" si="18"/>
        <v>#N/A</v>
      </c>
      <c r="S31" s="46">
        <f t="shared" si="11"/>
        <v>0.6</v>
      </c>
      <c r="T31" s="15">
        <f t="shared" si="3"/>
        <v>44.6</v>
      </c>
      <c r="U31" s="26" t="e">
        <f t="shared" si="12"/>
        <v>#N/A</v>
      </c>
      <c r="V31" s="26" t="e">
        <f>((((I31+I32+I33)/3)^2-((U31+U32+U33)/3)^2)/($F$46-((I31+I32+I33)/3)^2))*79</f>
        <v>#N/A</v>
      </c>
      <c r="W31" s="27" t="e">
        <f t="shared" si="15"/>
        <v>#N/A</v>
      </c>
      <c r="Y31" s="46">
        <f t="shared" si="13"/>
        <v>0.6</v>
      </c>
      <c r="Z31" s="15">
        <f t="shared" si="4"/>
        <v>44.6</v>
      </c>
      <c r="AA31" s="26" t="e">
        <f t="shared" si="14"/>
        <v>#N/A</v>
      </c>
      <c r="AB31" s="26" t="e">
        <f>((((O31+O32+O33)/3)^2-((AA31+AA32+AA33)/3)^2)/($F$46-((O31+O32+O33)/3)^2))*79</f>
        <v>#N/A</v>
      </c>
      <c r="AC31" s="27" t="e">
        <f t="shared" si="16"/>
        <v>#N/A</v>
      </c>
    </row>
    <row r="32" spans="1:29" ht="12.75">
      <c r="A32" s="46">
        <f t="shared" si="5"/>
        <v>0.65</v>
      </c>
      <c r="B32" s="15">
        <f t="shared" si="0"/>
        <v>46.5</v>
      </c>
      <c r="C32" s="26">
        <f t="shared" si="6"/>
        <v>2.3720784915749213</v>
      </c>
      <c r="D32" s="26">
        <v>0</v>
      </c>
      <c r="E32" s="27"/>
      <c r="G32" s="46">
        <f t="shared" si="7"/>
        <v>0.65</v>
      </c>
      <c r="H32" s="15">
        <f t="shared" si="1"/>
        <v>46.5</v>
      </c>
      <c r="I32" s="26">
        <f t="shared" si="8"/>
        <v>2.3720784915749213</v>
      </c>
      <c r="J32" s="26">
        <f>((((C32+C33+C34)/3)^2-((I32+I33+I34)/3)^2)/($F$46-((C32+C33+C34)/3)^2))*70</f>
        <v>0</v>
      </c>
      <c r="K32" s="27">
        <f t="shared" si="17"/>
        <v>2.456986594205701</v>
      </c>
      <c r="M32" s="46">
        <f t="shared" si="9"/>
        <v>0.65</v>
      </c>
      <c r="N32" s="15">
        <f t="shared" si="2"/>
        <v>46.5</v>
      </c>
      <c r="O32" s="26" t="e">
        <f t="shared" si="10"/>
        <v>#N/A</v>
      </c>
      <c r="P32" s="26" t="e">
        <f>((((C32+C33+C34)/3)^2-((O32+O33+O34)/3)^2)/($F$46-((C32+C33+C34)/3)^2))*70</f>
        <v>#N/A</v>
      </c>
      <c r="Q32" s="27" t="e">
        <f t="shared" si="18"/>
        <v>#N/A</v>
      </c>
      <c r="S32" s="46">
        <f t="shared" si="11"/>
        <v>0.65</v>
      </c>
      <c r="T32" s="15">
        <f t="shared" si="3"/>
        <v>46.5</v>
      </c>
      <c r="U32" s="26" t="e">
        <f t="shared" si="12"/>
        <v>#N/A</v>
      </c>
      <c r="V32" s="26" t="e">
        <f>((((I32+I33+I34)/3)^2-((U32+U33+U34)/3)^2)/($F$46-((I32+I33+I34)/3)^2))*70</f>
        <v>#N/A</v>
      </c>
      <c r="W32" s="27" t="e">
        <f t="shared" si="15"/>
        <v>#N/A</v>
      </c>
      <c r="Y32" s="46">
        <f t="shared" si="13"/>
        <v>0.65</v>
      </c>
      <c r="Z32" s="15">
        <f t="shared" si="4"/>
        <v>46.5</v>
      </c>
      <c r="AA32" s="26" t="e">
        <f t="shared" si="14"/>
        <v>#N/A</v>
      </c>
      <c r="AB32" s="26" t="e">
        <f>((((O32+O33+O34)/3)^2-((AA32+AA33+AA34)/3)^2)/($F$46-((O32+O33+O34)/3)^2))*70</f>
        <v>#N/A</v>
      </c>
      <c r="AC32" s="27" t="e">
        <f t="shared" si="16"/>
        <v>#N/A</v>
      </c>
    </row>
    <row r="33" spans="1:29" ht="12.75">
      <c r="A33" s="46">
        <f t="shared" si="5"/>
        <v>0.7000000000000001</v>
      </c>
      <c r="B33" s="15">
        <f t="shared" si="0"/>
        <v>48.400000000000006</v>
      </c>
      <c r="C33" s="26">
        <f t="shared" si="6"/>
        <v>2.330620344092837</v>
      </c>
      <c r="D33" s="26">
        <v>0</v>
      </c>
      <c r="E33" s="27"/>
      <c r="G33" s="46">
        <f t="shared" si="7"/>
        <v>0.7000000000000001</v>
      </c>
      <c r="H33" s="15">
        <f t="shared" si="1"/>
        <v>48.400000000000006</v>
      </c>
      <c r="I33" s="26">
        <f t="shared" si="8"/>
        <v>2.330620344092837</v>
      </c>
      <c r="J33" s="26">
        <f>((((C33+C34+C35)/3)^2-((I33+I34+I35)/3)^2)/($F$46-((C33+C34+C35)/3)^2))*60</f>
        <v>0</v>
      </c>
      <c r="K33" s="27">
        <f t="shared" si="17"/>
        <v>2.686387300113502</v>
      </c>
      <c r="M33" s="46">
        <f t="shared" si="9"/>
        <v>0.7000000000000001</v>
      </c>
      <c r="N33" s="15">
        <f t="shared" si="2"/>
        <v>48.400000000000006</v>
      </c>
      <c r="O33" s="26" t="e">
        <f t="shared" si="10"/>
        <v>#N/A</v>
      </c>
      <c r="P33" s="26" t="e">
        <f>((((C33+C34+C35)/3)^2-((O33+O34+O35)/3)^2)/($F$46-((C33+C34+C35)/3)^2))*60</f>
        <v>#N/A</v>
      </c>
      <c r="Q33" s="27" t="e">
        <f t="shared" si="18"/>
        <v>#N/A</v>
      </c>
      <c r="S33" s="46">
        <f t="shared" si="11"/>
        <v>0.7000000000000001</v>
      </c>
      <c r="T33" s="15">
        <f t="shared" si="3"/>
        <v>48.400000000000006</v>
      </c>
      <c r="U33" s="26" t="e">
        <f t="shared" si="12"/>
        <v>#N/A</v>
      </c>
      <c r="V33" s="26" t="e">
        <f>((((I33+I34+I35)/3)^2-((U33+U34+U35)/3)^2)/($F$46-((I33+I34+I35)/3)^2))*60</f>
        <v>#N/A</v>
      </c>
      <c r="W33" s="27" t="e">
        <f t="shared" si="15"/>
        <v>#N/A</v>
      </c>
      <c r="Y33" s="46">
        <f t="shared" si="13"/>
        <v>0.7000000000000001</v>
      </c>
      <c r="Z33" s="15">
        <f t="shared" si="4"/>
        <v>48.400000000000006</v>
      </c>
      <c r="AA33" s="26" t="e">
        <f t="shared" si="14"/>
        <v>#N/A</v>
      </c>
      <c r="AB33" s="26" t="e">
        <f>((((O33+O34+O35)/3)^2-((AA33+AA34+AA35)/3)^2)/($F$46-((O33+O34+O35)/3)^2))*60</f>
        <v>#N/A</v>
      </c>
      <c r="AC33" s="27" t="e">
        <f t="shared" si="16"/>
        <v>#N/A</v>
      </c>
    </row>
    <row r="34" spans="1:29" ht="12.75">
      <c r="A34" s="46">
        <f t="shared" si="5"/>
        <v>0.7500000000000001</v>
      </c>
      <c r="B34" s="15">
        <f t="shared" si="0"/>
        <v>50.300000000000004</v>
      </c>
      <c r="C34" s="26">
        <f t="shared" si="6"/>
        <v>2.289162196610753</v>
      </c>
      <c r="D34" s="26">
        <v>0</v>
      </c>
      <c r="E34" s="27"/>
      <c r="G34" s="46">
        <f t="shared" si="7"/>
        <v>0.7500000000000001</v>
      </c>
      <c r="H34" s="15">
        <f t="shared" si="1"/>
        <v>50.300000000000004</v>
      </c>
      <c r="I34" s="26">
        <f t="shared" si="8"/>
        <v>2.289162196610753</v>
      </c>
      <c r="J34" s="26">
        <f>((((C34+C35+C36)/3)^2-((I34+I35+I36)/3)^2)/($F$46-((C34+C35+C36)/3)^2))*50</f>
        <v>0</v>
      </c>
      <c r="K34" s="27">
        <f>100*(((($B$7/100)^(-$F$49)+($F$47-(($C34+$C35+$C36+$C37)/4)^2)^(-$F$48))/((H$7/100)^(-$F$49)+($F$47-((I34+I35+I36+I37)/4)^2)^(-$F$48)))^$F$50-1)+H$13+J$13</f>
        <v>2.8936222204840156</v>
      </c>
      <c r="M34" s="46">
        <f t="shared" si="9"/>
        <v>0.7500000000000001</v>
      </c>
      <c r="N34" s="15">
        <f t="shared" si="2"/>
        <v>50.300000000000004</v>
      </c>
      <c r="O34" s="26" t="e">
        <f t="shared" si="10"/>
        <v>#N/A</v>
      </c>
      <c r="P34" s="26" t="e">
        <f>((((C34+C35+C36)/3)^2-((O34+O35+O36)/3)^2)/($F$46-((C34+C35+C36)/3)^2))*50</f>
        <v>#N/A</v>
      </c>
      <c r="Q34" s="27" t="e">
        <f>100*(((($B$7/100)^(-$F$49)+($F$47-(($C34+$C35+$C36+$C37)/4)^2)^(-$F$48))/((N$7/100)^(-$F$49)+($F$47-((O34+O35+O36+O37)/4)^2)^(-$F$48)))^$F$50-1)+N$13+P$13</f>
        <v>#N/A</v>
      </c>
      <c r="S34" s="46">
        <f t="shared" si="11"/>
        <v>0.7500000000000001</v>
      </c>
      <c r="T34" s="15">
        <f t="shared" si="3"/>
        <v>50.300000000000004</v>
      </c>
      <c r="U34" s="26" t="e">
        <f t="shared" si="12"/>
        <v>#N/A</v>
      </c>
      <c r="V34" s="26" t="e">
        <f>((((I34+I35+I36)/3)^2-((U34+U35+U36)/3)^2)/($F$46-((I34+I35+I36)/3)^2))*50</f>
        <v>#N/A</v>
      </c>
      <c r="W34" s="27" t="e">
        <f t="shared" si="15"/>
        <v>#N/A</v>
      </c>
      <c r="Y34" s="46">
        <f t="shared" si="13"/>
        <v>0.7500000000000001</v>
      </c>
      <c r="Z34" s="15">
        <f t="shared" si="4"/>
        <v>50.300000000000004</v>
      </c>
      <c r="AA34" s="26" t="e">
        <f t="shared" si="14"/>
        <v>#N/A</v>
      </c>
      <c r="AB34" s="26" t="e">
        <f>((((O34+O35+O36)/3)^2-((AA34+AA35+AA36)/3)^2)/($F$46-((O34+O35+O36)/3)^2))*50</f>
        <v>#N/A</v>
      </c>
      <c r="AC34" s="27" t="e">
        <f t="shared" si="16"/>
        <v>#N/A</v>
      </c>
    </row>
    <row r="35" spans="1:29" ht="12.75">
      <c r="A35" s="46">
        <f t="shared" si="5"/>
        <v>0.8000000000000002</v>
      </c>
      <c r="B35" s="15">
        <f t="shared" si="0"/>
        <v>52.2</v>
      </c>
      <c r="C35" s="26">
        <f t="shared" si="6"/>
        <v>2.247704049128669</v>
      </c>
      <c r="D35" s="26">
        <v>0</v>
      </c>
      <c r="E35" s="27"/>
      <c r="G35" s="46">
        <f t="shared" si="7"/>
        <v>0.8000000000000002</v>
      </c>
      <c r="H35" s="15">
        <f t="shared" si="1"/>
        <v>52.2</v>
      </c>
      <c r="I35" s="26">
        <f t="shared" si="8"/>
        <v>2.247704049128669</v>
      </c>
      <c r="J35" s="26">
        <f>((((C35+C36+C37)/3)^2-((I35+I36+I37)/3)^2)/($F$46-((C35+C36+C37)/3)^2))*41</f>
        <v>0</v>
      </c>
      <c r="K35" s="27">
        <f t="shared" si="17"/>
        <v>3.079170300219669</v>
      </c>
      <c r="M35" s="46">
        <f t="shared" si="9"/>
        <v>0.8000000000000002</v>
      </c>
      <c r="N35" s="15">
        <f t="shared" si="2"/>
        <v>52.2</v>
      </c>
      <c r="O35" s="26" t="e">
        <f t="shared" si="10"/>
        <v>#N/A</v>
      </c>
      <c r="P35" s="26" t="e">
        <f>((((C35+C36+C37)/3)^2-((O35+O36+O37)/3)^2)/($F$46-((C35+C36+C37)/3)^2))*41</f>
        <v>#N/A</v>
      </c>
      <c r="Q35" s="27" t="e">
        <f t="shared" si="18"/>
        <v>#N/A</v>
      </c>
      <c r="S35" s="46">
        <f t="shared" si="11"/>
        <v>0.8000000000000002</v>
      </c>
      <c r="T35" s="15">
        <f t="shared" si="3"/>
        <v>52.2</v>
      </c>
      <c r="U35" s="26" t="e">
        <f t="shared" si="12"/>
        <v>#N/A</v>
      </c>
      <c r="V35" s="26" t="e">
        <f>((((I35+I36+I37)/3)^2-((U35+U36+U37)/3)^2)/($F$46-((I35+I36+I37)/3)^2))*41</f>
        <v>#N/A</v>
      </c>
      <c r="W35" s="27" t="e">
        <f t="shared" si="15"/>
        <v>#N/A</v>
      </c>
      <c r="Y35" s="46">
        <f t="shared" si="13"/>
        <v>0.8000000000000002</v>
      </c>
      <c r="Z35" s="15">
        <f t="shared" si="4"/>
        <v>52.2</v>
      </c>
      <c r="AA35" s="26" t="e">
        <f t="shared" si="14"/>
        <v>#N/A</v>
      </c>
      <c r="AB35" s="26" t="e">
        <f>((((O35+O36+O37)/3)^2-((AA35+AA36+AA37)/3)^2)/($F$46-((O35+O36+O37)/3)^2))*41</f>
        <v>#N/A</v>
      </c>
      <c r="AC35" s="27" t="e">
        <f t="shared" si="16"/>
        <v>#N/A</v>
      </c>
    </row>
    <row r="36" spans="1:29" ht="12.75">
      <c r="A36" s="46">
        <f t="shared" si="5"/>
        <v>0.8500000000000002</v>
      </c>
      <c r="B36" s="15">
        <f t="shared" si="0"/>
        <v>54.10000000000001</v>
      </c>
      <c r="C36" s="26">
        <f t="shared" si="6"/>
        <v>2.206245901646585</v>
      </c>
      <c r="D36" s="26">
        <v>0</v>
      </c>
      <c r="E36" s="27"/>
      <c r="G36" s="46">
        <f t="shared" si="7"/>
        <v>0.8500000000000002</v>
      </c>
      <c r="H36" s="15">
        <f t="shared" si="1"/>
        <v>54.10000000000001</v>
      </c>
      <c r="I36" s="26">
        <f t="shared" si="8"/>
        <v>2.206245901646585</v>
      </c>
      <c r="J36" s="26">
        <f>((((C36+C37+C38)/3)^2-((I36+I37+I38)/3)^2)/($F$46-((C36+C37+C38)/3)^2))*33</f>
        <v>0</v>
      </c>
      <c r="K36" s="27">
        <f t="shared" si="17"/>
        <v>3.244283153201155</v>
      </c>
      <c r="M36" s="46">
        <f t="shared" si="9"/>
        <v>0.8500000000000002</v>
      </c>
      <c r="N36" s="15">
        <f t="shared" si="2"/>
        <v>54.10000000000001</v>
      </c>
      <c r="O36" s="26" t="e">
        <f t="shared" si="10"/>
        <v>#N/A</v>
      </c>
      <c r="P36" s="26" t="e">
        <f>((((C36+C37+C38)/3)^2-((O36+O37+O38)/3)^2)/($F$46-((C36+C37+C38)/3)^2))*33</f>
        <v>#N/A</v>
      </c>
      <c r="Q36" s="27" t="e">
        <f t="shared" si="18"/>
        <v>#N/A</v>
      </c>
      <c r="S36" s="46">
        <f t="shared" si="11"/>
        <v>0.8500000000000002</v>
      </c>
      <c r="T36" s="15">
        <f t="shared" si="3"/>
        <v>54.10000000000001</v>
      </c>
      <c r="U36" s="26" t="e">
        <f t="shared" si="12"/>
        <v>#N/A</v>
      </c>
      <c r="V36" s="26" t="e">
        <f>((((I36+I37+I38)/3)^2-((U36+U37+U38)/3)^2)/($F$46-((I36+I37+I38)/3)^2))*33</f>
        <v>#N/A</v>
      </c>
      <c r="W36" s="27" t="e">
        <f t="shared" si="15"/>
        <v>#N/A</v>
      </c>
      <c r="Y36" s="46">
        <f t="shared" si="13"/>
        <v>0.8500000000000002</v>
      </c>
      <c r="Z36" s="15">
        <f t="shared" si="4"/>
        <v>54.10000000000001</v>
      </c>
      <c r="AA36" s="26" t="e">
        <f t="shared" si="14"/>
        <v>#N/A</v>
      </c>
      <c r="AB36" s="26" t="e">
        <f>((((O36+O37+O38)/3)^2-((AA36+AA37+AA38)/3)^2)/($F$46-((O36+O37+O38)/3)^2))*33</f>
        <v>#N/A</v>
      </c>
      <c r="AC36" s="27" t="e">
        <f t="shared" si="16"/>
        <v>#N/A</v>
      </c>
    </row>
    <row r="37" spans="1:29" ht="12.75">
      <c r="A37" s="46">
        <f t="shared" si="5"/>
        <v>0.9000000000000002</v>
      </c>
      <c r="B37" s="15">
        <f aca="true" t="shared" si="19" ref="B37:B42">$F$45+E$6*$F$43+$A37*$F$44</f>
        <v>56.000000000000014</v>
      </c>
      <c r="C37" s="26">
        <f t="shared" si="6"/>
        <v>2.1647877541645006</v>
      </c>
      <c r="D37" s="26">
        <v>0</v>
      </c>
      <c r="E37" s="27"/>
      <c r="G37" s="46">
        <f t="shared" si="7"/>
        <v>0.9000000000000002</v>
      </c>
      <c r="H37" s="15">
        <f t="shared" si="1"/>
        <v>56.000000000000014</v>
      </c>
      <c r="I37" s="26">
        <f t="shared" si="8"/>
        <v>2.1647877541645006</v>
      </c>
      <c r="J37" s="26">
        <f>((((C37+C38+C39)/3)^2-((I37+I38+I39)/3)^2)/($F$46-((C37+C38+C39)/3)^2))*27</f>
        <v>0</v>
      </c>
      <c r="K37" s="27">
        <f t="shared" si="17"/>
        <v>3.390630134877526</v>
      </c>
      <c r="M37" s="46">
        <f t="shared" si="9"/>
        <v>0.9000000000000002</v>
      </c>
      <c r="N37" s="15">
        <f t="shared" si="2"/>
        <v>56.000000000000014</v>
      </c>
      <c r="O37" s="26" t="e">
        <f t="shared" si="10"/>
        <v>#N/A</v>
      </c>
      <c r="P37" s="26" t="e">
        <f>((((C37+C38+C39)/3)^2-((O37+O38+O39)/3)^2)/($F$46-((C37+C38+C39)/3)^2))*27</f>
        <v>#N/A</v>
      </c>
      <c r="Q37" s="27" t="e">
        <f t="shared" si="18"/>
        <v>#N/A</v>
      </c>
      <c r="S37" s="46">
        <f t="shared" si="11"/>
        <v>0.9000000000000002</v>
      </c>
      <c r="T37" s="15">
        <f t="shared" si="3"/>
        <v>56.000000000000014</v>
      </c>
      <c r="U37" s="26" t="e">
        <f t="shared" si="12"/>
        <v>#N/A</v>
      </c>
      <c r="V37" s="26" t="e">
        <f>((((I37+I38+I39)/3)^2-((U37+U38+U39)/3)^2)/($F$46-((I37+I38+I39)/3)^2))*27</f>
        <v>#N/A</v>
      </c>
      <c r="W37" s="27" t="e">
        <f t="shared" si="15"/>
        <v>#N/A</v>
      </c>
      <c r="Y37" s="46">
        <f t="shared" si="13"/>
        <v>0.9000000000000002</v>
      </c>
      <c r="Z37" s="15">
        <f t="shared" si="4"/>
        <v>56.000000000000014</v>
      </c>
      <c r="AA37" s="26" t="e">
        <f t="shared" si="14"/>
        <v>#N/A</v>
      </c>
      <c r="AB37" s="26" t="e">
        <f>((((O37+O38+O39)/3)^2-((AA37+AA38+AA39)/3)^2)/($F$46-((O37+O38+O39)/3)^2))*27</f>
        <v>#N/A</v>
      </c>
      <c r="AC37" s="27" t="e">
        <f t="shared" si="16"/>
        <v>#N/A</v>
      </c>
    </row>
    <row r="38" spans="1:29" ht="12.75">
      <c r="A38" s="46">
        <f t="shared" si="5"/>
        <v>0.9500000000000003</v>
      </c>
      <c r="B38" s="15">
        <f t="shared" si="19"/>
        <v>57.900000000000006</v>
      </c>
      <c r="C38" s="26">
        <f t="shared" si="6"/>
        <v>2.123329606682417</v>
      </c>
      <c r="D38" s="26">
        <v>0</v>
      </c>
      <c r="E38" s="27"/>
      <c r="G38" s="46">
        <f t="shared" si="7"/>
        <v>0.9500000000000003</v>
      </c>
      <c r="H38" s="15">
        <f t="shared" si="1"/>
        <v>57.900000000000006</v>
      </c>
      <c r="I38" s="26">
        <f t="shared" si="8"/>
        <v>2.123329606682417</v>
      </c>
      <c r="J38" s="26">
        <f>((((C38+C39+C39)/3)^2-((I38+I39+I39)/3)^2)/($F$46-((C38+C39+C39)/3)^2))*22</f>
        <v>0</v>
      </c>
      <c r="K38" s="27">
        <f>100*(((($B$7/100)^(-$F$49)+($F$47-(($C38+$C39+$C40+$C41)/4)^2)^(-$F$48))/((H$7/100)^(-$F$49)+($F$47-((I38+I39+I40+I41)/4)^2)^(-$F$48)))^$F$50-1)+H$13+J$13</f>
        <v>3.5200499560356313</v>
      </c>
      <c r="M38" s="46">
        <f t="shared" si="9"/>
        <v>0.9500000000000003</v>
      </c>
      <c r="N38" s="15">
        <f t="shared" si="2"/>
        <v>57.900000000000006</v>
      </c>
      <c r="O38" s="26" t="e">
        <f t="shared" si="10"/>
        <v>#N/A</v>
      </c>
      <c r="P38" s="26" t="e">
        <f>((((C38+C39+C39)/3)^2-((O38+O39+O39)/3)^2)/($F$46-((C38+C39+C39)/3)^2))*22</f>
        <v>#N/A</v>
      </c>
      <c r="Q38" s="27" t="e">
        <f>100*(((($B$7/100)^(-$F$49)+($F$47-(($C38+$C39+$C40+$C41)/4)^2)^(-$F$48))/((N$7/100)^(-$F$49)+($F$47-((O38+O39+O40+O41)/4)^2)^(-$F$48)))^$F$50-1)+N$13+P$13</f>
        <v>#N/A</v>
      </c>
      <c r="S38" s="46">
        <f t="shared" si="11"/>
        <v>0.9500000000000003</v>
      </c>
      <c r="T38" s="15">
        <f t="shared" si="3"/>
        <v>57.900000000000006</v>
      </c>
      <c r="U38" s="26" t="e">
        <f t="shared" si="12"/>
        <v>#N/A</v>
      </c>
      <c r="V38" s="26" t="e">
        <f>((((I38+I39+I39)/3)^2-((U38+U39+U39)/3)^2)/($F$46-((I38+I39+I39)/3)^2))*22</f>
        <v>#N/A</v>
      </c>
      <c r="W38" s="27" t="e">
        <f t="shared" si="15"/>
        <v>#N/A</v>
      </c>
      <c r="Y38" s="46">
        <f t="shared" si="13"/>
        <v>0.9500000000000003</v>
      </c>
      <c r="Z38" s="15">
        <f t="shared" si="4"/>
        <v>57.900000000000006</v>
      </c>
      <c r="AA38" s="26" t="e">
        <f t="shared" si="14"/>
        <v>#N/A</v>
      </c>
      <c r="AB38" s="26" t="e">
        <f>((((O38+O39+O39)/3)^2-((AA38+AA39+AA39)/3)^2)/($F$46-((O38+O39+O39)/3)^2))*22</f>
        <v>#N/A</v>
      </c>
      <c r="AC38" s="27" t="e">
        <f t="shared" si="16"/>
        <v>#N/A</v>
      </c>
    </row>
    <row r="39" spans="1:29" ht="13.5" thickBot="1">
      <c r="A39" s="47">
        <f t="shared" si="5"/>
        <v>1.0000000000000002</v>
      </c>
      <c r="B39" s="28">
        <f t="shared" si="19"/>
        <v>59.80000000000001</v>
      </c>
      <c r="C39" s="29">
        <f t="shared" si="6"/>
        <v>2.081871459200333</v>
      </c>
      <c r="D39" s="29">
        <v>0</v>
      </c>
      <c r="E39" s="30"/>
      <c r="G39" s="47">
        <f t="shared" si="7"/>
        <v>1.0000000000000002</v>
      </c>
      <c r="H39" s="28">
        <f t="shared" si="1"/>
        <v>59.80000000000001</v>
      </c>
      <c r="I39" s="29">
        <f>IF(H$4=1,IF(H39&lt;=K$10,J$10,J$10-(H39-K$10)*TAN(PI()/180*H$10)),IF(H$4=2,"2 taper",IF(H39&lt;=K$10,J$10,IF(H39&lt;=K$11,J$10-(H39-K$10)*TAN(PI()/180*H$10),IF(H39&lt;=K$12,J$11-(H39-K$11)*TAN(PI()/180*H$11),J$12-(H39-K$12)*TAN(PI()/180*H$12))))))</f>
        <v>2.081871459200333</v>
      </c>
      <c r="J39" s="29">
        <f>((C39^2-I39^2)/($F$46-C39^2))*18</f>
        <v>0</v>
      </c>
      <c r="K39" s="30">
        <f>100*(((($B$7/100)^(-$F$49)+($F$47-(($C39+$C40+$C41+$C42)/4)^2)^(-$F$48))/((H$7/100)^(-$F$49)+($F$47-((I39+I40+I41+I42)/4)^2)^(-$F$48)))^$F$50-1)+H$13+J$13</f>
        <v>3.634389494307033</v>
      </c>
      <c r="M39" s="46">
        <f t="shared" si="9"/>
        <v>1.0000000000000002</v>
      </c>
      <c r="N39" s="15">
        <f t="shared" si="2"/>
        <v>59.80000000000001</v>
      </c>
      <c r="O39" s="26" t="e">
        <f>IF(N$4=1,IF(N39&lt;=Q$10,P$10,P$10-(N39-Q$10)*TAN(PI()/180*N$10)),IF(N$4=2,"2 taper",IF(N39&lt;=Q$10,P$10,IF(N39&lt;=Q$11,P$10-(N39-Q$10)*TAN(PI()/180*N$10),IF(N39&lt;=Q$12,P$11-(N39-Q$11)*TAN(PI()/180*N$11),P$12-(N39-Q$12)*TAN(PI()/180*N$12))))))</f>
        <v>#N/A</v>
      </c>
      <c r="P39" s="26" t="e">
        <f>((C39^2-O39^2)/($F$46-C39^2))*18</f>
        <v>#N/A</v>
      </c>
      <c r="Q39" s="27" t="e">
        <f>100*(((($B$7/100)^(-$F$49)+($F$47-(($C39+$C40+$C41+$C42)/4)^2)^(-$F$48))/((N$7/100)^(-$F$49)+($F$47-((O39+O40+O41+O42)/4)^2)^(-$F$48)))^$F$50-1)+N$13+P$13</f>
        <v>#N/A</v>
      </c>
      <c r="S39" s="46">
        <f t="shared" si="11"/>
        <v>1.0000000000000002</v>
      </c>
      <c r="T39" s="15">
        <f t="shared" si="3"/>
        <v>59.80000000000001</v>
      </c>
      <c r="U39" s="26" t="e">
        <f>IF(T$4=1,IF(T39&lt;=W$10,V$10,V$10-(T39-W$10)*TAN(PI()/180*T$10)),IF(T$4=2,"2 taper",IF(T39&lt;=W$10,V$10,IF(T39&lt;=W$11,V$10-(T39-W$10)*TAN(PI()/180*T$10),IF(T39&lt;=W$12,V$11-(T39-W$11)*TAN(PI()/180*T$11),V$12-(T39-W$12)*TAN(PI()/180*T$12))))))</f>
        <v>#N/A</v>
      </c>
      <c r="V39" s="26" t="e">
        <f>((I39^2-U39^2)/($F$46-I39^2))*18</f>
        <v>#N/A</v>
      </c>
      <c r="W39" s="27" t="e">
        <f t="shared" si="15"/>
        <v>#N/A</v>
      </c>
      <c r="Y39" s="46">
        <f t="shared" si="13"/>
        <v>1.0000000000000002</v>
      </c>
      <c r="Z39" s="15">
        <f t="shared" si="4"/>
        <v>59.80000000000001</v>
      </c>
      <c r="AA39" s="26" t="e">
        <f>IF(Z$4=1,IF(Z39&lt;=AC$10,AB$10,AB$10-(Z39-AC$10)*TAN(PI()/180*Z$10)),IF(Z$4=2,"2 taper",IF(Z39&lt;=AC$10,AB$10,IF(Z39&lt;=AC$11,AB$10-(Z39-AC$10)*TAN(PI()/180*Z$10),IF(Z39&lt;=AC$12,AB$11-(Z39-AC$11)*TAN(PI()/180*Z$11),AB$12-(Z39-AC$12)*TAN(PI()/180*Z$12))))))</f>
        <v>#N/A</v>
      </c>
      <c r="AB39" s="26" t="e">
        <f>((O39^2-AA39^2)/($F$46-O39^2))*18</f>
        <v>#N/A</v>
      </c>
      <c r="AC39" s="27" t="e">
        <f t="shared" si="16"/>
        <v>#N/A</v>
      </c>
    </row>
    <row r="40" spans="1:29" ht="12.75">
      <c r="A40" s="113">
        <f t="shared" si="5"/>
        <v>1.0500000000000003</v>
      </c>
      <c r="B40" s="110">
        <f t="shared" si="19"/>
        <v>61.70000000000002</v>
      </c>
      <c r="C40" s="114">
        <f t="shared" si="6"/>
        <v>2.0404133117182486</v>
      </c>
      <c r="D40" s="115"/>
      <c r="E40" s="116"/>
      <c r="G40" s="113">
        <f t="shared" si="7"/>
        <v>1.0500000000000003</v>
      </c>
      <c r="H40" s="110">
        <f t="shared" si="1"/>
        <v>61.70000000000002</v>
      </c>
      <c r="I40" s="114">
        <f>IF(H$4=1,IF(H40&lt;=K$10,J$10,J$10-(H40-K$10)*TAN(PI()/180*H$10)),IF(H$4=2,"2 taper",IF(H40&lt;=K$10,J$10,IF(H40&lt;=K$11,J$10-(H40-K$10)*TAN(PI()/180*H$10),IF(H40&lt;=K$12,J$11-(H40-K$11)*TAN(PI()/180*H$11),J$12-(H40-K$12)*TAN(PI()/180*H$12))))))</f>
        <v>2.0404133117182486</v>
      </c>
      <c r="J40" s="114"/>
      <c r="K40" s="117"/>
      <c r="M40" s="113">
        <f t="shared" si="9"/>
        <v>1.0500000000000003</v>
      </c>
      <c r="N40" s="110">
        <f t="shared" si="2"/>
        <v>61.70000000000002</v>
      </c>
      <c r="O40" s="114" t="e">
        <f>IF(N$4=1,IF(N40&lt;=Q$10,P$10,P$10-(N40-Q$10)*TAN(PI()/180*N$10)),IF(N$4=2,"2 taper",IF(N40&lt;=Q$10,P$10,IF(N40&lt;=Q$11,P$10-(N40-Q$10)*TAN(PI()/180*N$10),IF(N40&lt;=Q$12,P$11-(N40-Q$11)*TAN(PI()/180*N$11),P$12-(N40-Q$12)*TAN(PI()/180*N$12))))))</f>
        <v>#N/A</v>
      </c>
      <c r="P40" s="115"/>
      <c r="Q40" s="116"/>
      <c r="S40" s="113">
        <f t="shared" si="11"/>
        <v>1.0500000000000003</v>
      </c>
      <c r="T40" s="110">
        <f t="shared" si="3"/>
        <v>61.70000000000002</v>
      </c>
      <c r="U40" s="114" t="e">
        <f>IF(T$4=1,IF(T40&lt;=W$10,V$10,V$10-(T40-W$10)*TAN(PI()/180*T$10)),IF(T$4=2,"2 taper",IF(T40&lt;=W$10,V$10,IF(T40&lt;=W$11,V$10-(T40-W$10)*TAN(PI()/180*T$10),IF(T40&lt;=W$12,V$11-(T40-W$11)*TAN(PI()/180*T$11),V$12-(T40-W$12)*TAN(PI()/180*T$12))))))</f>
        <v>#N/A</v>
      </c>
      <c r="V40" s="115"/>
      <c r="W40" s="116"/>
      <c r="Y40" s="113">
        <f t="shared" si="13"/>
        <v>1.0500000000000003</v>
      </c>
      <c r="Z40" s="110">
        <f t="shared" si="4"/>
        <v>61.70000000000002</v>
      </c>
      <c r="AA40" s="114" t="e">
        <f>IF(Z$4=1,IF(Z40&lt;=AC$10,AB$10,AB$10-(Z40-AC$10)*TAN(PI()/180*Z$10)),IF(Z$4=2,"2 taper",IF(Z40&lt;=AC$10,AB$10,IF(Z40&lt;=AC$11,AB$10-(Z40-AC$10)*TAN(PI()/180*Z$10),IF(Z40&lt;=AC$12,AB$11-(Z40-AC$11)*TAN(PI()/180*Z$11),AB$12-(Z40-AC$12)*TAN(PI()/180*Z$12))))))</f>
        <v>#N/A</v>
      </c>
      <c r="AB40" s="115"/>
      <c r="AC40" s="116"/>
    </row>
    <row r="41" spans="1:29" ht="12.75">
      <c r="A41" s="46">
        <f t="shared" si="5"/>
        <v>1.1000000000000003</v>
      </c>
      <c r="B41" s="15">
        <f t="shared" si="19"/>
        <v>63.60000000000001</v>
      </c>
      <c r="C41" s="26">
        <f t="shared" si="6"/>
        <v>1.9989551642361651</v>
      </c>
      <c r="D41" s="16"/>
      <c r="E41" s="17"/>
      <c r="G41" s="46">
        <f t="shared" si="7"/>
        <v>1.1000000000000003</v>
      </c>
      <c r="H41" s="15">
        <f t="shared" si="1"/>
        <v>63.60000000000001</v>
      </c>
      <c r="I41" s="26">
        <f>IF(H$4=1,IF(H41&lt;=K$10,J$10,J$10-(H41-K$10)*TAN(PI()/180*H$10)),IF(H$4=2,"2 taper",IF(H41&lt;=K$10,J$10,IF(H41&lt;=K$11,J$10-(H41-K$10)*TAN(PI()/180*H$10),IF(H41&lt;=K$12,J$11-(H41-K$11)*TAN(PI()/180*H$11),J$12-(H41-K$12)*TAN(PI()/180*H$12))))))</f>
        <v>1.9989551642361651</v>
      </c>
      <c r="J41" s="16"/>
      <c r="K41" s="27"/>
      <c r="M41" s="46">
        <f t="shared" si="9"/>
        <v>1.1000000000000003</v>
      </c>
      <c r="N41" s="15">
        <f t="shared" si="2"/>
        <v>63.60000000000001</v>
      </c>
      <c r="O41" s="26" t="e">
        <f>IF(N$4=1,IF(N41&lt;=Q$10,P$10,P$10-(N41-Q$10)*TAN(PI()/180*N$10)),IF(N$4=2,"2 taper",IF(N41&lt;=Q$10,P$10,IF(N41&lt;=Q$11,P$10-(N41-Q$10)*TAN(PI()/180*N$10),IF(N41&lt;=Q$12,P$11-(N41-Q$11)*TAN(PI()/180*N$11),P$12-(N41-Q$12)*TAN(PI()/180*N$12))))))</f>
        <v>#N/A</v>
      </c>
      <c r="P41" s="16"/>
      <c r="Q41" s="17"/>
      <c r="S41" s="46">
        <f t="shared" si="11"/>
        <v>1.1000000000000003</v>
      </c>
      <c r="T41" s="15">
        <f t="shared" si="3"/>
        <v>63.60000000000001</v>
      </c>
      <c r="U41" s="26" t="e">
        <f>IF(T$4=1,IF(T41&lt;=W$10,V$10,V$10-(T41-W$10)*TAN(PI()/180*T$10)),IF(T$4=2,"2 taper",IF(T41&lt;=W$10,V$10,IF(T41&lt;=W$11,V$10-(T41-W$10)*TAN(PI()/180*T$10),IF(T41&lt;=W$12,V$11-(T41-W$11)*TAN(PI()/180*T$11),V$12-(T41-W$12)*TAN(PI()/180*T$12))))))</f>
        <v>#N/A</v>
      </c>
      <c r="V41" s="16"/>
      <c r="W41" s="17"/>
      <c r="Y41" s="46">
        <f t="shared" si="13"/>
        <v>1.1000000000000003</v>
      </c>
      <c r="Z41" s="15">
        <f t="shared" si="4"/>
        <v>63.60000000000001</v>
      </c>
      <c r="AA41" s="26" t="e">
        <f>IF(Z$4=1,IF(Z41&lt;=AC$10,AB$10,AB$10-(Z41-AC$10)*TAN(PI()/180*Z$10)),IF(Z$4=2,"2 taper",IF(Z41&lt;=AC$10,AB$10,IF(Z41&lt;=AC$11,AB$10-(Z41-AC$10)*TAN(PI()/180*Z$10),IF(Z41&lt;=AC$12,AB$11-(Z41-AC$11)*TAN(PI()/180*Z$11),AB$12-(Z41-AC$12)*TAN(PI()/180*Z$12))))))</f>
        <v>#N/A</v>
      </c>
      <c r="AB41" s="16"/>
      <c r="AC41" s="17"/>
    </row>
    <row r="42" spans="1:29" ht="13.5" thickBot="1">
      <c r="A42" s="47">
        <f t="shared" si="5"/>
        <v>1.1500000000000004</v>
      </c>
      <c r="B42" s="28">
        <f t="shared" si="19"/>
        <v>65.50000000000001</v>
      </c>
      <c r="C42" s="29">
        <f t="shared" si="6"/>
        <v>1.9574970167540808</v>
      </c>
      <c r="D42" s="111"/>
      <c r="E42" s="112"/>
      <c r="G42" s="47">
        <f t="shared" si="7"/>
        <v>1.1500000000000004</v>
      </c>
      <c r="H42" s="28">
        <f t="shared" si="1"/>
        <v>65.50000000000001</v>
      </c>
      <c r="I42" s="29">
        <f>IF(H$4=1,IF(H42&lt;=K$10,J$10,J$10-(H42-K$10)*TAN(PI()/180*H$10)),IF(H$4=2,"2 taper",IF(H42&lt;=K$10,J$10,IF(H42&lt;=K$11,J$10-(H42-K$10)*TAN(PI()/180*H$10),IF(H42&lt;=K$12,J$11-(H42-K$11)*TAN(PI()/180*H$11),J$12-(H42-K$12)*TAN(PI()/180*H$12))))))</f>
        <v>1.9574970167540808</v>
      </c>
      <c r="J42" s="111"/>
      <c r="K42" s="30"/>
      <c r="M42" s="47">
        <f t="shared" si="9"/>
        <v>1.1500000000000004</v>
      </c>
      <c r="N42" s="28">
        <f t="shared" si="2"/>
        <v>65.50000000000001</v>
      </c>
      <c r="O42" s="29" t="e">
        <f>IF(N$4=1,IF(N42&lt;=Q$10,P$10,P$10-(N42-Q$10)*TAN(PI()/180*N$10)),IF(N$4=2,"2 taper",IF(N42&lt;=Q$10,P$10,IF(N42&lt;=Q$11,P$10-(N42-Q$10)*TAN(PI()/180*N$10),IF(N42&lt;=Q$12,P$11-(N42-Q$11)*TAN(PI()/180*N$11),P$12-(N42-Q$12)*TAN(PI()/180*N$12))))))</f>
        <v>#N/A</v>
      </c>
      <c r="P42" s="111"/>
      <c r="Q42" s="112"/>
      <c r="S42" s="47">
        <f t="shared" si="11"/>
        <v>1.1500000000000004</v>
      </c>
      <c r="T42" s="28">
        <f t="shared" si="3"/>
        <v>65.50000000000001</v>
      </c>
      <c r="U42" s="29" t="e">
        <f>IF(T$4=1,IF(T42&lt;=W$10,V$10,V$10-(T42-W$10)*TAN(PI()/180*T$10)),IF(T$4=2,"2 taper",IF(T42&lt;=W$10,V$10,IF(T42&lt;=W$11,V$10-(T42-W$10)*TAN(PI()/180*T$10),IF(T42&lt;=W$12,V$11-(T42-W$11)*TAN(PI()/180*T$11),V$12-(T42-W$12)*TAN(PI()/180*T$12))))))</f>
        <v>#N/A</v>
      </c>
      <c r="V42" s="111"/>
      <c r="W42" s="112"/>
      <c r="Y42" s="47">
        <f t="shared" si="13"/>
        <v>1.1500000000000004</v>
      </c>
      <c r="Z42" s="28">
        <f t="shared" si="4"/>
        <v>65.50000000000001</v>
      </c>
      <c r="AA42" s="29" t="e">
        <f>IF(Z$4=1,IF(Z42&lt;=AC$10,AB$10,AB$10-(Z42-AC$10)*TAN(PI()/180*Z$10)),IF(Z$4=2,"2 taper",IF(Z42&lt;=AC$10,AB$10,IF(Z42&lt;=AC$11,AB$10-(Z42-AC$10)*TAN(PI()/180*Z$10),IF(Z42&lt;=AC$12,AB$11-(Z42-AC$11)*TAN(PI()/180*Z$11),AB$12-(Z42-AC$12)*TAN(PI()/180*Z$12))))))</f>
        <v>#N/A</v>
      </c>
      <c r="AB42" s="111"/>
      <c r="AC42" s="112"/>
    </row>
    <row r="43" spans="1:8" ht="12.75">
      <c r="A43" s="2" t="s">
        <v>12</v>
      </c>
      <c r="B43" s="5" t="s">
        <v>17</v>
      </c>
      <c r="F43" s="3">
        <v>0.9</v>
      </c>
      <c r="G43" s="2" t="s">
        <v>5</v>
      </c>
      <c r="H43" t="s">
        <v>45</v>
      </c>
    </row>
    <row r="44" spans="1:11" ht="12.75">
      <c r="A44" s="2" t="s">
        <v>14</v>
      </c>
      <c r="B44" s="6" t="s">
        <v>13</v>
      </c>
      <c r="F44" s="3">
        <v>38</v>
      </c>
      <c r="G44" s="2" t="s">
        <v>5</v>
      </c>
      <c r="H44" t="s">
        <v>79</v>
      </c>
      <c r="K44">
        <v>38</v>
      </c>
    </row>
    <row r="45" spans="1:11" ht="12.75">
      <c r="A45" s="2" t="s">
        <v>15</v>
      </c>
      <c r="B45" s="6" t="s">
        <v>46</v>
      </c>
      <c r="F45" s="3">
        <v>19.1</v>
      </c>
      <c r="G45" s="2" t="s">
        <v>5</v>
      </c>
      <c r="H45" t="s">
        <v>140</v>
      </c>
      <c r="K45">
        <v>19.1</v>
      </c>
    </row>
    <row r="46" spans="1:8" ht="12.75">
      <c r="A46" s="2" t="s">
        <v>136</v>
      </c>
      <c r="B46" t="s">
        <v>141</v>
      </c>
      <c r="F46" s="3">
        <v>8.2</v>
      </c>
      <c r="G46" s="2" t="s">
        <v>138</v>
      </c>
      <c r="H46" t="s">
        <v>139</v>
      </c>
    </row>
    <row r="47" spans="1:9" ht="12.75">
      <c r="A47" s="2" t="s">
        <v>148</v>
      </c>
      <c r="F47" s="3">
        <v>8.2</v>
      </c>
      <c r="I47" s="3">
        <v>8.2</v>
      </c>
    </row>
    <row r="48" spans="1:10" ht="12.75">
      <c r="A48" s="2" t="s">
        <v>149</v>
      </c>
      <c r="F48">
        <v>3</v>
      </c>
      <c r="H48">
        <v>4</v>
      </c>
      <c r="I48">
        <v>3</v>
      </c>
      <c r="J48">
        <v>2</v>
      </c>
    </row>
    <row r="49" spans="1:10" ht="12.75">
      <c r="A49" s="2" t="s">
        <v>150</v>
      </c>
      <c r="F49">
        <v>7.2</v>
      </c>
      <c r="H49">
        <v>9.6</v>
      </c>
      <c r="I49">
        <v>7.2</v>
      </c>
      <c r="J49">
        <v>4.8</v>
      </c>
    </row>
    <row r="50" spans="1:10" ht="12.75">
      <c r="A50" s="2" t="s">
        <v>151</v>
      </c>
      <c r="F50">
        <v>0.333</v>
      </c>
      <c r="H50">
        <v>0.25</v>
      </c>
      <c r="I50">
        <v>0.333</v>
      </c>
      <c r="J50">
        <v>0.5</v>
      </c>
    </row>
    <row r="51" spans="1:6" ht="12.75">
      <c r="A51" s="2" t="s">
        <v>155</v>
      </c>
      <c r="B51" t="s">
        <v>158</v>
      </c>
      <c r="F51">
        <v>1000</v>
      </c>
    </row>
    <row r="52" spans="1:6" ht="12.75">
      <c r="A52" s="2" t="s">
        <v>153</v>
      </c>
      <c r="B52" t="s">
        <v>159</v>
      </c>
      <c r="F52">
        <v>8</v>
      </c>
    </row>
  </sheetData>
  <sheetProtection password="87AF" sheet="1" objects="1" scenarios="1"/>
  <mergeCells count="5">
    <mergeCell ref="Y2:AC2"/>
    <mergeCell ref="A2:E2"/>
    <mergeCell ref="G2:K2"/>
    <mergeCell ref="M2:Q2"/>
    <mergeCell ref="S2:W2"/>
  </mergeCells>
  <printOptions/>
  <pageMargins left="0.75" right="0.75" top="1" bottom="1" header="0.5" footer="0.5"/>
  <pageSetup fitToHeight="1" fitToWidth="1" horizontalDpi="180" verticalDpi="180" orientation="landscape" scale="48" r:id="rId1"/>
  <headerFooter alignWithMargins="0">
    <oddFooter>&amp;C&amp;F&amp;R&amp;D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AC52"/>
  <sheetViews>
    <sheetView zoomScale="75" zoomScaleNormal="75" workbookViewId="0" topLeftCell="A1">
      <selection activeCell="P46" sqref="P46"/>
    </sheetView>
  </sheetViews>
  <sheetFormatPr defaultColWidth="11.421875" defaultRowHeight="12.75"/>
  <cols>
    <col min="1" max="1" width="10.00390625" style="0" customWidth="1"/>
    <col min="2" max="2" width="7.57421875" style="0" customWidth="1"/>
    <col min="3" max="4" width="9.140625" style="0" customWidth="1"/>
    <col min="5" max="5" width="9.57421875" style="0" customWidth="1"/>
    <col min="6" max="6" width="5.28125" style="0" customWidth="1"/>
    <col min="7" max="10" width="9.140625" style="0" customWidth="1"/>
    <col min="11" max="11" width="10.421875" style="0" customWidth="1"/>
    <col min="12" max="12" width="4.8515625" style="0" customWidth="1"/>
    <col min="13" max="16384" width="9.140625" style="0" customWidth="1"/>
  </cols>
  <sheetData>
    <row r="1" s="16" customFormat="1" ht="13.5" thickBot="1"/>
    <row r="2" spans="1:29" s="12" customFormat="1" ht="18" thickBot="1">
      <c r="A2" s="155" t="s">
        <v>18</v>
      </c>
      <c r="B2" s="156"/>
      <c r="C2" s="156"/>
      <c r="D2" s="156"/>
      <c r="E2" s="157"/>
      <c r="G2" s="155" t="s">
        <v>19</v>
      </c>
      <c r="H2" s="156"/>
      <c r="I2" s="156"/>
      <c r="J2" s="156"/>
      <c r="K2" s="157"/>
      <c r="M2" s="155" t="s">
        <v>43</v>
      </c>
      <c r="N2" s="156"/>
      <c r="O2" s="156"/>
      <c r="P2" s="156"/>
      <c r="Q2" s="157"/>
      <c r="S2" s="155" t="s">
        <v>281</v>
      </c>
      <c r="T2" s="156"/>
      <c r="U2" s="156"/>
      <c r="V2" s="156"/>
      <c r="W2" s="157"/>
      <c r="Y2" s="155" t="s">
        <v>282</v>
      </c>
      <c r="Z2" s="156"/>
      <c r="AA2" s="156"/>
      <c r="AB2" s="156"/>
      <c r="AC2" s="157"/>
    </row>
    <row r="3" spans="1:29" ht="12.75">
      <c r="A3" s="21" t="s">
        <v>156</v>
      </c>
      <c r="B3" s="43">
        <f>'FCR Chart'!H6</f>
        <v>100</v>
      </c>
      <c r="C3" s="16" t="s">
        <v>157</v>
      </c>
      <c r="D3" s="43">
        <f>'FCR Chart'!I6</f>
        <v>70</v>
      </c>
      <c r="E3" s="10"/>
      <c r="F3" s="4"/>
      <c r="G3" s="21" t="s">
        <v>156</v>
      </c>
      <c r="H3" s="43">
        <f>'FCR Chart'!H7</f>
        <v>100</v>
      </c>
      <c r="I3" s="16" t="s">
        <v>157</v>
      </c>
      <c r="J3" s="43">
        <f>'FCR Chart'!I7</f>
        <v>70</v>
      </c>
      <c r="K3" s="10"/>
      <c r="M3" s="21" t="s">
        <v>156</v>
      </c>
      <c r="N3" s="43">
        <f>'FCR Chart'!H8</f>
        <v>100</v>
      </c>
      <c r="O3" s="16" t="s">
        <v>157</v>
      </c>
      <c r="P3" s="43">
        <f>'FCR Chart'!I8</f>
        <v>70</v>
      </c>
      <c r="Q3" s="10" t="s">
        <v>6</v>
      </c>
      <c r="S3" s="21" t="s">
        <v>156</v>
      </c>
      <c r="T3" s="43">
        <f>'FCR Chart'!H9</f>
        <v>100</v>
      </c>
      <c r="U3" s="16" t="s">
        <v>157</v>
      </c>
      <c r="V3" s="43">
        <f>'FCR Chart'!I9</f>
        <v>70</v>
      </c>
      <c r="W3" s="10" t="s">
        <v>6</v>
      </c>
      <c r="Y3" s="21" t="s">
        <v>156</v>
      </c>
      <c r="Z3" s="43">
        <f>'FCR Chart'!H10</f>
        <v>100</v>
      </c>
      <c r="AA3" s="16" t="s">
        <v>157</v>
      </c>
      <c r="AB3" s="43">
        <f>'FCR Chart'!I10</f>
        <v>70</v>
      </c>
      <c r="AC3" s="10" t="s">
        <v>6</v>
      </c>
    </row>
    <row r="4" spans="1:29" ht="12.75">
      <c r="A4" s="21" t="s">
        <v>64</v>
      </c>
      <c r="B4" s="22">
        <v>1</v>
      </c>
      <c r="C4" s="16"/>
      <c r="D4" s="16"/>
      <c r="E4" s="10" t="s">
        <v>6</v>
      </c>
      <c r="F4" s="4"/>
      <c r="G4" s="21" t="s">
        <v>64</v>
      </c>
      <c r="H4" s="22">
        <v>1</v>
      </c>
      <c r="I4" s="16"/>
      <c r="J4" s="16"/>
      <c r="K4" s="10" t="s">
        <v>6</v>
      </c>
      <c r="M4" s="21" t="s">
        <v>64</v>
      </c>
      <c r="N4" s="22">
        <v>1</v>
      </c>
      <c r="O4" s="16"/>
      <c r="P4" s="16"/>
      <c r="Q4" s="10" t="s">
        <v>6</v>
      </c>
      <c r="S4" s="21" t="s">
        <v>64</v>
      </c>
      <c r="T4" s="22">
        <v>1</v>
      </c>
      <c r="U4" s="16"/>
      <c r="V4" s="16"/>
      <c r="W4" s="10" t="s">
        <v>6</v>
      </c>
      <c r="Y4" s="21" t="s">
        <v>64</v>
      </c>
      <c r="Z4" s="22">
        <v>1</v>
      </c>
      <c r="AA4" s="16"/>
      <c r="AB4" s="16"/>
      <c r="AC4" s="10" t="s">
        <v>6</v>
      </c>
    </row>
    <row r="5" spans="1:29" ht="12.75">
      <c r="A5" s="21" t="s">
        <v>147</v>
      </c>
      <c r="B5" s="43">
        <f>'FCR Chart'!B6</f>
        <v>48</v>
      </c>
      <c r="C5" s="16"/>
      <c r="D5" s="16"/>
      <c r="E5" s="10" t="s">
        <v>7</v>
      </c>
      <c r="F5" s="2"/>
      <c r="G5" s="23"/>
      <c r="H5" s="43">
        <f>'FCR Chart'!B7</f>
        <v>48</v>
      </c>
      <c r="I5" s="16"/>
      <c r="J5" s="16"/>
      <c r="K5" s="10" t="s">
        <v>7</v>
      </c>
      <c r="M5" s="23"/>
      <c r="N5" s="43">
        <f>'FCR Chart'!B8</f>
        <v>48</v>
      </c>
      <c r="O5" s="16"/>
      <c r="P5" s="16"/>
      <c r="Q5" s="10" t="s">
        <v>7</v>
      </c>
      <c r="S5" s="23"/>
      <c r="T5" s="43">
        <f>'FCR Chart'!B9</f>
        <v>48</v>
      </c>
      <c r="U5" s="16"/>
      <c r="V5" s="16"/>
      <c r="W5" s="10" t="s">
        <v>7</v>
      </c>
      <c r="Y5" s="23"/>
      <c r="Z5" s="43">
        <f>'FCR Chart'!B10</f>
        <v>48</v>
      </c>
      <c r="AA5" s="16"/>
      <c r="AB5" s="16"/>
      <c r="AC5" s="10" t="s">
        <v>7</v>
      </c>
    </row>
    <row r="6" spans="1:29" ht="12.75">
      <c r="A6" s="49"/>
      <c r="B6" s="43" t="str">
        <f>'FCR Chart'!C6</f>
        <v>D</v>
      </c>
      <c r="C6" s="43" t="str">
        <f>'FCR Chart'!D6</f>
        <v>T</v>
      </c>
      <c r="D6" s="43" t="str">
        <f>'FCR Chart'!E6</f>
        <v>M</v>
      </c>
      <c r="E6" s="48">
        <f>'FCR Chart'!F6</f>
        <v>2</v>
      </c>
      <c r="F6" s="1"/>
      <c r="G6" s="49"/>
      <c r="H6" s="43" t="str">
        <f>'FCR Chart'!C7</f>
        <v>D</v>
      </c>
      <c r="I6" s="43" t="str">
        <f>'FCR Chart'!D7</f>
        <v>T</v>
      </c>
      <c r="J6" s="43" t="str">
        <f>'FCR Chart'!E7</f>
        <v>M</v>
      </c>
      <c r="K6" s="48">
        <f>'FCR Chart'!F7</f>
        <v>3</v>
      </c>
      <c r="M6" s="49"/>
      <c r="N6" s="43" t="str">
        <f>'FCR Chart'!C8</f>
        <v>D</v>
      </c>
      <c r="O6" s="43" t="str">
        <f>'FCR Chart'!D8</f>
        <v>T</v>
      </c>
      <c r="P6" s="43" t="str">
        <f>'FCR Chart'!E8</f>
        <v>M</v>
      </c>
      <c r="Q6" s="48">
        <f>'FCR Chart'!F8</f>
        <v>4</v>
      </c>
      <c r="S6" s="49"/>
      <c r="T6" s="43" t="str">
        <f>'FCR Chart'!C9</f>
        <v>D</v>
      </c>
      <c r="U6" s="43" t="str">
        <f>'FCR Chart'!D9</f>
        <v>T</v>
      </c>
      <c r="V6" s="43" t="str">
        <f>'FCR Chart'!E9</f>
        <v>M</v>
      </c>
      <c r="W6" s="48">
        <f>'FCR Chart'!F9</f>
        <v>5</v>
      </c>
      <c r="Y6" s="49"/>
      <c r="Z6" s="43" t="str">
        <f>'FCR Chart'!C10</f>
        <v>D</v>
      </c>
      <c r="AA6" s="43" t="str">
        <f>'FCR Chart'!D10</f>
        <v>T</v>
      </c>
      <c r="AB6" s="43" t="str">
        <f>'FCR Chart'!E10</f>
        <v>M</v>
      </c>
      <c r="AC6" s="48">
        <f>'FCR Chart'!F10</f>
        <v>6</v>
      </c>
    </row>
    <row r="7" spans="1:29" ht="12.75">
      <c r="A7" s="21" t="s">
        <v>146</v>
      </c>
      <c r="B7" s="43">
        <f>'FCR Chart'!G6</f>
        <v>175</v>
      </c>
      <c r="C7" s="9"/>
      <c r="D7" s="9"/>
      <c r="E7" s="10"/>
      <c r="F7" s="1"/>
      <c r="G7" s="23"/>
      <c r="H7" s="43">
        <f>'FCR Chart'!G7</f>
        <v>170</v>
      </c>
      <c r="I7" s="9"/>
      <c r="J7" s="9"/>
      <c r="K7" s="10"/>
      <c r="M7" s="23"/>
      <c r="N7" s="43">
        <f>'FCR Chart'!G8</f>
        <v>170</v>
      </c>
      <c r="O7" s="9"/>
      <c r="P7" s="9"/>
      <c r="Q7" s="10"/>
      <c r="S7" s="23"/>
      <c r="T7" s="43">
        <f>'FCR Chart'!G9</f>
        <v>170</v>
      </c>
      <c r="U7" s="9"/>
      <c r="V7" s="9"/>
      <c r="W7" s="10"/>
      <c r="Y7" s="23"/>
      <c r="Z7" s="43">
        <f>'FCR Chart'!G10</f>
        <v>168</v>
      </c>
      <c r="AA7" s="9"/>
      <c r="AB7" s="9"/>
      <c r="AC7" s="10"/>
    </row>
    <row r="8" spans="1:29" ht="12.75">
      <c r="A8" s="24"/>
      <c r="B8" s="9" t="s">
        <v>0</v>
      </c>
      <c r="C8" s="9" t="s">
        <v>100</v>
      </c>
      <c r="D8" s="9" t="s">
        <v>3</v>
      </c>
      <c r="E8" s="25" t="s">
        <v>63</v>
      </c>
      <c r="G8" s="24"/>
      <c r="H8" s="9" t="s">
        <v>0</v>
      </c>
      <c r="I8" s="9" t="s">
        <v>100</v>
      </c>
      <c r="J8" s="9" t="s">
        <v>3</v>
      </c>
      <c r="K8" s="25" t="s">
        <v>63</v>
      </c>
      <c r="M8" s="24"/>
      <c r="N8" s="9" t="s">
        <v>0</v>
      </c>
      <c r="O8" s="9" t="s">
        <v>100</v>
      </c>
      <c r="P8" s="9" t="s">
        <v>3</v>
      </c>
      <c r="Q8" s="25" t="s">
        <v>63</v>
      </c>
      <c r="S8" s="24"/>
      <c r="T8" s="9" t="s">
        <v>0</v>
      </c>
      <c r="U8" s="9" t="s">
        <v>100</v>
      </c>
      <c r="V8" s="9" t="s">
        <v>3</v>
      </c>
      <c r="W8" s="25" t="s">
        <v>63</v>
      </c>
      <c r="Y8" s="24"/>
      <c r="Z8" s="9" t="s">
        <v>0</v>
      </c>
      <c r="AA8" s="9" t="s">
        <v>100</v>
      </c>
      <c r="AB8" s="9" t="s">
        <v>3</v>
      </c>
      <c r="AC8" s="25" t="s">
        <v>63</v>
      </c>
    </row>
    <row r="9" spans="1:29" ht="12.75">
      <c r="A9" s="24"/>
      <c r="B9" s="9" t="s">
        <v>1</v>
      </c>
      <c r="C9" s="9" t="s">
        <v>5</v>
      </c>
      <c r="D9" s="9" t="s">
        <v>5</v>
      </c>
      <c r="E9" s="10" t="s">
        <v>5</v>
      </c>
      <c r="G9" s="24"/>
      <c r="H9" s="9" t="s">
        <v>1</v>
      </c>
      <c r="I9" s="9" t="s">
        <v>5</v>
      </c>
      <c r="J9" s="9" t="s">
        <v>5</v>
      </c>
      <c r="K9" s="10" t="s">
        <v>5</v>
      </c>
      <c r="M9" s="24"/>
      <c r="N9" s="9" t="s">
        <v>1</v>
      </c>
      <c r="O9" s="9" t="s">
        <v>5</v>
      </c>
      <c r="P9" s="9" t="s">
        <v>5</v>
      </c>
      <c r="Q9" s="10" t="s">
        <v>5</v>
      </c>
      <c r="S9" s="24"/>
      <c r="T9" s="9" t="s">
        <v>1</v>
      </c>
      <c r="U9" s="9" t="s">
        <v>5</v>
      </c>
      <c r="V9" s="9" t="s">
        <v>5</v>
      </c>
      <c r="W9" s="10" t="s">
        <v>5</v>
      </c>
      <c r="Y9" s="24"/>
      <c r="Z9" s="9" t="s">
        <v>1</v>
      </c>
      <c r="AA9" s="9" t="s">
        <v>5</v>
      </c>
      <c r="AB9" s="9" t="s">
        <v>5</v>
      </c>
      <c r="AC9" s="10" t="s">
        <v>5</v>
      </c>
    </row>
    <row r="10" spans="1:29" ht="12.75">
      <c r="A10" s="24" t="s">
        <v>57</v>
      </c>
      <c r="B10" s="18">
        <f>LOOKUP(B6,' FCR Needle Data'!$A4:$A29,' FCR Needle Data'!$D4:$D29)</f>
        <v>0.75</v>
      </c>
      <c r="C10" s="18">
        <f>LOOKUP(C6,' FCR Needle Data'!$A4:$A29,' FCR Needle Data'!$F4:$F29)</f>
        <v>79.85000000000001</v>
      </c>
      <c r="D10" s="18">
        <f>LOOKUP(D6,' FCR Needle Data'!$A4:$A29,' FCR Needle Data'!$G4:$G29)</f>
        <v>2.7149999999999976</v>
      </c>
      <c r="E10" s="19">
        <f>C10-(D10-2.515)/TAN(PI()/180*B10)</f>
        <v>64.571998137773</v>
      </c>
      <c r="G10" s="24" t="s">
        <v>57</v>
      </c>
      <c r="H10" s="18">
        <f>LOOKUP(H6,' FCR Needle Data'!$A4:$A29,' FCR Needle Data'!$D4:$D29)</f>
        <v>0.75</v>
      </c>
      <c r="I10" s="18">
        <f>LOOKUP(I6,' FCR Needle Data'!$A4:$A29,' FCR Needle Data'!$F4:$F29)</f>
        <v>79.85000000000001</v>
      </c>
      <c r="J10" s="18">
        <f>LOOKUP(J6,' FCR Needle Data'!$A4:$A29,' FCR Needle Data'!$G4:$G29)</f>
        <v>2.7149999999999976</v>
      </c>
      <c r="K10" s="19">
        <f>I10-(J10-2.515)/TAN(PI()/180*H10)</f>
        <v>64.571998137773</v>
      </c>
      <c r="M10" s="24" t="s">
        <v>57</v>
      </c>
      <c r="N10" s="18">
        <f>LOOKUP(N6,' FCR Needle Data'!$A4:$A29,' FCR Needle Data'!$D4:$D29)</f>
        <v>0.75</v>
      </c>
      <c r="O10" s="18">
        <f>LOOKUP(O6,' FCR Needle Data'!$A4:$A29,' FCR Needle Data'!$F4:$F29)</f>
        <v>79.85000000000001</v>
      </c>
      <c r="P10" s="18">
        <f>LOOKUP(P6,' FCR Needle Data'!$A4:$A29,' FCR Needle Data'!$G4:$G29)</f>
        <v>2.7149999999999976</v>
      </c>
      <c r="Q10" s="19">
        <f>O10-(P10-2.515)/TAN(PI()/180*N10)</f>
        <v>64.571998137773</v>
      </c>
      <c r="S10" s="24" t="s">
        <v>57</v>
      </c>
      <c r="T10" s="18">
        <f>LOOKUP(T6,' FCR Needle Data'!$A4:$A29,' FCR Needle Data'!$D4:$D29)</f>
        <v>0.75</v>
      </c>
      <c r="U10" s="18">
        <f>LOOKUP(U6,' FCR Needle Data'!$A4:$A29,' FCR Needle Data'!$F4:$F29)</f>
        <v>79.85000000000001</v>
      </c>
      <c r="V10" s="18">
        <f>LOOKUP(V6,' FCR Needle Data'!$A4:$A29,' FCR Needle Data'!$G4:$G29)</f>
        <v>2.7149999999999976</v>
      </c>
      <c r="W10" s="19">
        <f>U10-(V10-2.515)/TAN(PI()/180*T10)</f>
        <v>64.571998137773</v>
      </c>
      <c r="Y10" s="24" t="s">
        <v>57</v>
      </c>
      <c r="Z10" s="18">
        <f>LOOKUP(Z6,' FCR Needle Data'!$A4:$A29,' FCR Needle Data'!$D4:$D29)</f>
        <v>0.75</v>
      </c>
      <c r="AA10" s="18">
        <f>LOOKUP(AA6,' FCR Needle Data'!$A4:$A29,' FCR Needle Data'!$F4:$F29)</f>
        <v>79.85000000000001</v>
      </c>
      <c r="AB10" s="18">
        <f>LOOKUP(AB6,' FCR Needle Data'!$A4:$A29,' FCR Needle Data'!$G4:$G29)</f>
        <v>2.7149999999999976</v>
      </c>
      <c r="AC10" s="19">
        <f>AA10-(AB10-2.515)/TAN(PI()/180*Z10)</f>
        <v>64.571998137773</v>
      </c>
    </row>
    <row r="11" spans="1:29" ht="12.75">
      <c r="A11" s="24"/>
      <c r="B11" s="16"/>
      <c r="C11" s="16"/>
      <c r="D11" s="16"/>
      <c r="E11" s="17"/>
      <c r="G11" s="24" t="s">
        <v>161</v>
      </c>
      <c r="H11" s="16">
        <f>(H3-$B3)/$F$51</f>
        <v>0</v>
      </c>
      <c r="I11" s="95" t="s">
        <v>160</v>
      </c>
      <c r="J11" s="16">
        <f>(J3-$D3)/$F$52</f>
        <v>0</v>
      </c>
      <c r="K11" s="17"/>
      <c r="M11" s="24" t="s">
        <v>161</v>
      </c>
      <c r="N11" s="16">
        <f>(N3-$B3)/$F$51</f>
        <v>0</v>
      </c>
      <c r="O11" s="95" t="s">
        <v>160</v>
      </c>
      <c r="P11" s="16">
        <f>(P3-$D3)/$F$52</f>
        <v>0</v>
      </c>
      <c r="Q11" s="17"/>
      <c r="S11" s="24" t="s">
        <v>161</v>
      </c>
      <c r="T11" s="16">
        <f>(T3-$B3)/$F$51</f>
        <v>0</v>
      </c>
      <c r="U11" s="95" t="s">
        <v>160</v>
      </c>
      <c r="V11" s="16">
        <f>(V3-$D3)/$F$52</f>
        <v>0</v>
      </c>
      <c r="W11" s="17"/>
      <c r="Y11" s="24" t="s">
        <v>161</v>
      </c>
      <c r="Z11" s="16">
        <f>(Z3-$B3)/$F$51</f>
        <v>0</v>
      </c>
      <c r="AA11" s="95" t="s">
        <v>160</v>
      </c>
      <c r="AB11" s="16">
        <f>(AB3-$D3)/$F$52</f>
        <v>0</v>
      </c>
      <c r="AC11" s="17"/>
    </row>
    <row r="12" spans="1:29" ht="12.75">
      <c r="A12" s="8" t="s">
        <v>9</v>
      </c>
      <c r="B12" s="9" t="s">
        <v>10</v>
      </c>
      <c r="C12" s="9" t="s">
        <v>10</v>
      </c>
      <c r="D12" s="9"/>
      <c r="E12" s="10"/>
      <c r="G12" s="8" t="s">
        <v>9</v>
      </c>
      <c r="H12" s="9" t="s">
        <v>10</v>
      </c>
      <c r="I12" s="9" t="s">
        <v>10</v>
      </c>
      <c r="J12" s="9"/>
      <c r="K12" s="10"/>
      <c r="M12" s="8" t="s">
        <v>9</v>
      </c>
      <c r="N12" s="9" t="s">
        <v>10</v>
      </c>
      <c r="O12" s="9" t="s">
        <v>10</v>
      </c>
      <c r="P12" s="9"/>
      <c r="Q12" s="10"/>
      <c r="S12" s="8" t="s">
        <v>9</v>
      </c>
      <c r="T12" s="9" t="s">
        <v>10</v>
      </c>
      <c r="U12" s="9" t="s">
        <v>10</v>
      </c>
      <c r="V12" s="9"/>
      <c r="W12" s="10"/>
      <c r="Y12" s="8" t="s">
        <v>9</v>
      </c>
      <c r="Z12" s="9" t="s">
        <v>10</v>
      </c>
      <c r="AA12" s="9" t="s">
        <v>10</v>
      </c>
      <c r="AB12" s="9"/>
      <c r="AC12" s="10"/>
    </row>
    <row r="13" spans="1:29" ht="12.75">
      <c r="A13" s="8" t="s">
        <v>7</v>
      </c>
      <c r="B13" s="9" t="s">
        <v>7</v>
      </c>
      <c r="C13" s="9" t="s">
        <v>4</v>
      </c>
      <c r="D13" s="9"/>
      <c r="E13" s="84"/>
      <c r="G13" s="8" t="s">
        <v>7</v>
      </c>
      <c r="H13" s="9" t="s">
        <v>7</v>
      </c>
      <c r="I13" s="9" t="s">
        <v>4</v>
      </c>
      <c r="J13" s="9"/>
      <c r="K13" s="10"/>
      <c r="M13" s="8" t="s">
        <v>7</v>
      </c>
      <c r="N13" s="9" t="s">
        <v>7</v>
      </c>
      <c r="O13" s="9" t="s">
        <v>4</v>
      </c>
      <c r="P13" s="9"/>
      <c r="Q13" s="10"/>
      <c r="S13" s="8" t="s">
        <v>7</v>
      </c>
      <c r="T13" s="9" t="s">
        <v>7</v>
      </c>
      <c r="U13" s="9" t="s">
        <v>4</v>
      </c>
      <c r="V13" s="9"/>
      <c r="W13" s="10"/>
      <c r="Y13" s="8" t="s">
        <v>7</v>
      </c>
      <c r="Z13" s="9" t="s">
        <v>7</v>
      </c>
      <c r="AA13" s="9" t="s">
        <v>4</v>
      </c>
      <c r="AB13" s="9"/>
      <c r="AC13" s="10"/>
    </row>
    <row r="14" spans="1:29" ht="12.75">
      <c r="A14" s="8" t="s">
        <v>16</v>
      </c>
      <c r="B14" s="9" t="s">
        <v>11</v>
      </c>
      <c r="C14" s="9" t="s">
        <v>81</v>
      </c>
      <c r="D14" s="9"/>
      <c r="E14" s="10"/>
      <c r="G14" s="8" t="s">
        <v>16</v>
      </c>
      <c r="H14" s="9" t="s">
        <v>11</v>
      </c>
      <c r="I14" s="9" t="s">
        <v>81</v>
      </c>
      <c r="J14" s="9"/>
      <c r="K14" s="10"/>
      <c r="M14" s="8" t="s">
        <v>16</v>
      </c>
      <c r="N14" s="9" t="s">
        <v>11</v>
      </c>
      <c r="O14" s="9" t="s">
        <v>81</v>
      </c>
      <c r="P14" s="9"/>
      <c r="Q14" s="10"/>
      <c r="S14" s="8" t="s">
        <v>16</v>
      </c>
      <c r="T14" s="9" t="s">
        <v>11</v>
      </c>
      <c r="U14" s="9" t="s">
        <v>81</v>
      </c>
      <c r="V14" s="9"/>
      <c r="W14" s="10"/>
      <c r="Y14" s="8" t="s">
        <v>16</v>
      </c>
      <c r="Z14" s="9" t="s">
        <v>11</v>
      </c>
      <c r="AA14" s="9" t="s">
        <v>81</v>
      </c>
      <c r="AB14" s="9"/>
      <c r="AC14" s="10"/>
    </row>
    <row r="15" spans="1:29" ht="12.75">
      <c r="A15" s="20"/>
      <c r="B15" s="9" t="s">
        <v>5</v>
      </c>
      <c r="C15" s="9" t="s">
        <v>5</v>
      </c>
      <c r="D15" s="16"/>
      <c r="E15" s="17"/>
      <c r="G15" s="20"/>
      <c r="H15" s="9" t="s">
        <v>5</v>
      </c>
      <c r="I15" s="9" t="s">
        <v>5</v>
      </c>
      <c r="J15" s="16"/>
      <c r="K15" s="17"/>
      <c r="M15" s="34"/>
      <c r="N15" s="9" t="s">
        <v>5</v>
      </c>
      <c r="O15" s="9" t="s">
        <v>5</v>
      </c>
      <c r="P15" s="35"/>
      <c r="Q15" s="36"/>
      <c r="S15" s="34"/>
      <c r="T15" s="9" t="s">
        <v>5</v>
      </c>
      <c r="U15" s="9" t="s">
        <v>5</v>
      </c>
      <c r="V15" s="35"/>
      <c r="W15" s="36"/>
      <c r="Y15" s="34"/>
      <c r="Z15" s="9" t="s">
        <v>5</v>
      </c>
      <c r="AA15" s="9" t="s">
        <v>5</v>
      </c>
      <c r="AB15" s="35"/>
      <c r="AC15" s="36"/>
    </row>
    <row r="16" spans="1:29" ht="12.75">
      <c r="A16" s="20"/>
      <c r="B16" s="9"/>
      <c r="C16" s="9"/>
      <c r="D16" s="16"/>
      <c r="E16" s="17"/>
      <c r="G16" s="20"/>
      <c r="H16" s="9"/>
      <c r="I16" s="9"/>
      <c r="J16" s="16"/>
      <c r="K16" s="17"/>
      <c r="M16" s="34"/>
      <c r="N16" s="9"/>
      <c r="O16" s="9"/>
      <c r="P16" s="35"/>
      <c r="Q16" s="36"/>
      <c r="S16" s="34"/>
      <c r="T16" s="9"/>
      <c r="U16" s="9"/>
      <c r="V16" s="35"/>
      <c r="W16" s="36"/>
      <c r="Y16" s="34"/>
      <c r="Z16" s="9"/>
      <c r="AA16" s="9"/>
      <c r="AB16" s="35"/>
      <c r="AC16" s="36"/>
    </row>
    <row r="17" spans="1:29" ht="12.75">
      <c r="A17" s="46">
        <v>0</v>
      </c>
      <c r="B17" s="15">
        <f aca="true" t="shared" si="0" ref="B17:B40">$F$43+E$6*$F$41+$A17*$F$42</f>
        <v>53.8</v>
      </c>
      <c r="C17" s="26">
        <f>IF(B17&lt;=E$10,D$10,D$10-(B17-E$10)*TAN(PI()/180*B$10))</f>
        <v>2.7149999999999976</v>
      </c>
      <c r="D17" s="26">
        <v>0</v>
      </c>
      <c r="E17" s="27"/>
      <c r="G17" s="46">
        <v>0</v>
      </c>
      <c r="H17" s="15">
        <f aca="true" t="shared" si="1" ref="H17:H40">$F$43+K$6*$F$41+$A17*$F$42</f>
        <v>54.7</v>
      </c>
      <c r="I17" s="26">
        <f>IF(H17&lt;=K$10,J$10,J$10-(H17-K$10)*TAN(PI()/180*H$10))</f>
        <v>2.7149999999999976</v>
      </c>
      <c r="J17" s="26">
        <f>((((C17+C18+C19)/3)^2-((I17+I18+I19)/3)^2)/($F$44-((C17+C18+C19)/3)^2))*20</f>
        <v>0</v>
      </c>
      <c r="K17" s="27">
        <f>2.5*(H$5-$B$5)+20*(((($B$7/100)^(-$F$49)+($F$47-(($C17+$C18+$C19+$C20)/4)^2)^(-$F$48))/((H$7/100)^(-$F$49)+($F$47-((I17+I18+I19+I20)/4)^2)^(-$F$48)))^$F$50-1)+H11+J11</f>
        <v>-0.026213002734782886</v>
      </c>
      <c r="M17" s="46">
        <v>0</v>
      </c>
      <c r="N17" s="15">
        <f aca="true" t="shared" si="2" ref="N17:N40">$F$43+Q$6*$F$41+$A17*$F$42</f>
        <v>55.6</v>
      </c>
      <c r="O17" s="26">
        <f>IF(N17&lt;=Q$10,P$10,P$10-(N17-Q$10)*TAN(PI()/180*N$10))</f>
        <v>2.7149999999999976</v>
      </c>
      <c r="P17" s="26">
        <f>((((C17+C18+C19)/3)^2-((O17+O18+O19)/3)^2)/($F$44-((C17+C18+C19)/3)^2))*20</f>
        <v>0</v>
      </c>
      <c r="Q17" s="27">
        <f>2.5*(N$5-$B$5)+20*(((($B$7/100)^(-$F$49)+($F$47-(($C17+$C18+$C19+$C20)/4)^2)^(-$F$48))/((N$7/100)^(-$F$49)+($F$47-((O17+O18+O19+O20)/4)^2)^(-$F$48)))^$F$50-1)+N11+P11</f>
        <v>-0.026213002734782886</v>
      </c>
      <c r="S17" s="46">
        <v>0</v>
      </c>
      <c r="T17" s="15">
        <f aca="true" t="shared" si="3" ref="T17:T40">$F$43+W$6*$F$41+$A17*$F$42</f>
        <v>56.5</v>
      </c>
      <c r="U17" s="26">
        <f>IF(T17&lt;=W$10,V$10,V$10-(T17-W$10)*TAN(PI()/180*T$10))</f>
        <v>2.7149999999999976</v>
      </c>
      <c r="V17" s="26">
        <f>((((I17+I18+I19)/3)^2-((U17+U18+U19)/3)^2)/($F$44-((I17+I18+I19)/3)^2))*20</f>
        <v>0</v>
      </c>
      <c r="W17" s="27">
        <f>2.5*(T$5-$B$5)+20*(((($B$7/100)^(-$F$49)+($F$47-(($C17+$C18+$C19+$C20)/4)^2)^(-$F$48))/((T$7/100)^(-$F$49)+($F$47-((U17+U18+U19+U20)/4)^2)^(-$F$48)))^$F$50-1)+T11+V11</f>
        <v>-0.026213002734782886</v>
      </c>
      <c r="Y17" s="46">
        <v>0</v>
      </c>
      <c r="Z17" s="15">
        <f aca="true" t="shared" si="4" ref="Z17:Z40">$F$43+AC$6*$F$41+$A17*$F$42</f>
        <v>57.4</v>
      </c>
      <c r="AA17" s="26">
        <f>IF(Z17&lt;=AC$10,AB$10,AB$10-(Z17-AC$10)*TAN(PI()/180*Z$10))</f>
        <v>2.7149999999999976</v>
      </c>
      <c r="AB17" s="26">
        <f>((((O17+O18+O19)/3)^2-((AA17+AA18+AA19)/3)^2)/($F$44-((O17+O18+O19)/3)^2))*20</f>
        <v>0</v>
      </c>
      <c r="AC17" s="27">
        <f>2.5*(Z$5-$B$5)+20*(((($B$7/100)^(-$F$49)+($F$47-(($C17+$C18+$C19+$C20)/4)^2)^(-$F$48))/((Z$7/100)^(-$F$49)+($F$47-((AA17+AA18+AA19+AA20)/4)^2)^(-$F$48)))^$F$50-1)+Z11+AB11</f>
        <v>-0.03839551459075885</v>
      </c>
    </row>
    <row r="18" spans="1:29" ht="12.75">
      <c r="A18" s="46">
        <f>A17+0.05</f>
        <v>0.05</v>
      </c>
      <c r="B18" s="15">
        <f t="shared" si="0"/>
        <v>55.75</v>
      </c>
      <c r="C18" s="26">
        <f aca="true" t="shared" si="5" ref="C18:C40">IF(B18&lt;=E$10,D$10,D$10-(B18-E$10)*TAN(PI()/180*B$10))</f>
        <v>2.7149999999999976</v>
      </c>
      <c r="D18" s="26">
        <v>0</v>
      </c>
      <c r="E18" s="27"/>
      <c r="G18" s="46">
        <f>G17+0.05</f>
        <v>0.05</v>
      </c>
      <c r="H18" s="15">
        <f t="shared" si="1"/>
        <v>56.650000000000006</v>
      </c>
      <c r="I18" s="26">
        <f aca="true" t="shared" si="6" ref="I18:I40">IF(H18&lt;=K$10,J$10,J$10-(H18-K$10)*TAN(PI()/180*H$10))</f>
        <v>2.7149999999999976</v>
      </c>
      <c r="J18" s="26">
        <f>((((C18+C19+C20)/3)^2-((I18+I19+I20)/3)^2)/($F$44-((C18+C19+C20)/3)^2))*65</f>
        <v>0</v>
      </c>
      <c r="K18" s="27">
        <f>1.5*(H$5-$B$5)+65*(((($B$7/100)^(-$F$49)+($F$47-(($C18+$C19+$C20+$C21)/4)^2)^(-$F$48))/((H$7/100)^(-$F$49)+($F$47-((I18+I19+I20+I21)/4)^2)^(-$F$48)))^$F$50-1)+H11+J11</f>
        <v>-0.08519225888804438</v>
      </c>
      <c r="M18" s="46">
        <f>M17+0.05</f>
        <v>0.05</v>
      </c>
      <c r="N18" s="15">
        <f t="shared" si="2"/>
        <v>57.550000000000004</v>
      </c>
      <c r="O18" s="26">
        <f aca="true" t="shared" si="7" ref="O18:O40">IF(N18&lt;=Q$10,P$10,P$10-(N18-Q$10)*TAN(PI()/180*N$10))</f>
        <v>2.7149999999999976</v>
      </c>
      <c r="P18" s="26">
        <f>((((C18+C19+C20)/3)^2-((O18+O19+O20)/3)^2)/($F$44-((C18+C19+C20)/3)^2))*65</f>
        <v>0</v>
      </c>
      <c r="Q18" s="27">
        <f>1.5*(N$5-$B$5)+65*(((($B$7/100)^(-$F$49)+($F$47-(($C18+$C19+$C20+$C21)/4)^2)^(-$F$48))/((N$7/100)^(-$F$49)+($F$47-((O18+O19+O20+O21)/4)^2)^(-$F$48)))^$F$50-1)+N11+P11</f>
        <v>-0.08519225888804438</v>
      </c>
      <c r="S18" s="46">
        <f>S17+0.05</f>
        <v>0.05</v>
      </c>
      <c r="T18" s="15">
        <f t="shared" si="3"/>
        <v>58.45</v>
      </c>
      <c r="U18" s="26">
        <f aca="true" t="shared" si="8" ref="U18:U40">IF(T18&lt;=W$10,V$10,V$10-(T18-W$10)*TAN(PI()/180*T$10))</f>
        <v>2.7149999999999976</v>
      </c>
      <c r="V18" s="26">
        <f>((((I18+I19+I20)/3)^2-((U18+U19+U20)/3)^2)/($F$44-((I18+I19+I20)/3)^2))*65</f>
        <v>0</v>
      </c>
      <c r="W18" s="27">
        <f>1.5*(T$5-$B$5)+65*(((($B$7/100)^(-$F$49)+($F$47-(($C18+$C19+$C20+$C21)/4)^2)^(-$F$48))/((T$7/100)^(-$F$49)+($F$47-((U18+U19+U20+U21)/4)^2)^(-$F$48)))^$F$50-1)+T11+V11</f>
        <v>-0.08519225888804438</v>
      </c>
      <c r="Y18" s="46">
        <f>Y17+0.05</f>
        <v>0.05</v>
      </c>
      <c r="Z18" s="15">
        <f t="shared" si="4"/>
        <v>59.35</v>
      </c>
      <c r="AA18" s="26">
        <f aca="true" t="shared" si="9" ref="AA18:AA40">IF(Z18&lt;=AC$10,AB$10,AB$10-(Z18-AC$10)*TAN(PI()/180*Z$10))</f>
        <v>2.7149999999999976</v>
      </c>
      <c r="AB18" s="26">
        <f>((((O18+O19+O20)/3)^2-((AA18+AA19+AA20)/3)^2)/($F$44-((O18+O19+O20)/3)^2))*65</f>
        <v>0</v>
      </c>
      <c r="AC18" s="27">
        <f>1.5*(Z$5-$B$5)+65*(((($B$7/100)^(-$F$49)+($F$47-(($C18+$C19+$C20+$C21)/4)^2)^(-$F$48))/((Z$7/100)^(-$F$49)+($F$47-((AA18+AA19+AA20+AA21)/4)^2)^(-$F$48)))^$F$50-1)+Z11+AB11</f>
        <v>0.7870399687616747</v>
      </c>
    </row>
    <row r="19" spans="1:29" ht="12.75">
      <c r="A19" s="46">
        <f aca="true" t="shared" si="10" ref="A19:A40">A18+0.05</f>
        <v>0.1</v>
      </c>
      <c r="B19" s="15">
        <f t="shared" si="0"/>
        <v>57.699999999999996</v>
      </c>
      <c r="C19" s="26">
        <f t="shared" si="5"/>
        <v>2.7149999999999976</v>
      </c>
      <c r="D19" s="26">
        <v>0</v>
      </c>
      <c r="E19" s="27"/>
      <c r="G19" s="46">
        <f aca="true" t="shared" si="11" ref="G19:G40">G18+0.05</f>
        <v>0.1</v>
      </c>
      <c r="H19" s="15">
        <f t="shared" si="1"/>
        <v>58.6</v>
      </c>
      <c r="I19" s="26">
        <f t="shared" si="6"/>
        <v>2.7149999999999976</v>
      </c>
      <c r="J19" s="26">
        <f>((((C19+C20+C21)/3)^2-((I19+I20+I21)/3)^2)/($F$44-((C19+C20+C21)/3)^2))*93</f>
        <v>0</v>
      </c>
      <c r="K19" s="27">
        <f>1*(H$5-$B$5)+93*(((($B$7/100)^(-$F$49)+($F$47-(($C19+$C20+$C21+$C22)/4)^2)^(-$F$48))/((H$7/100)^(-$F$49)+($F$47-((I19+I20+I21+I22)/4)^2)^(-$F$48)))^$F$50-1)+H11+J11</f>
        <v>-0.12189046271674042</v>
      </c>
      <c r="M19" s="46">
        <f aca="true" t="shared" si="12" ref="M19:M40">M18+0.05</f>
        <v>0.1</v>
      </c>
      <c r="N19" s="15">
        <f t="shared" si="2"/>
        <v>59.5</v>
      </c>
      <c r="O19" s="26">
        <f t="shared" si="7"/>
        <v>2.7149999999999976</v>
      </c>
      <c r="P19" s="26">
        <f>((((C19+C20+C21)/3)^2-((O19+O20+O21)/3)^2)/($F$44-((C19+C20+C21)/3)^2))*93</f>
        <v>0</v>
      </c>
      <c r="Q19" s="27">
        <f>1*(N$5-$B$5)+93*(((($B$7/100)^(-$F$49)+($F$47-(($C19+$C20+$C21+$C22)/4)^2)^(-$F$48))/((N$7/100)^(-$F$49)+($F$47-((O19+O20+O21+O22)/4)^2)^(-$F$48)))^$F$50-1)+N11+P11</f>
        <v>1.4984217224346645</v>
      </c>
      <c r="S19" s="46">
        <f aca="true" t="shared" si="13" ref="S19:S40">S18+0.05</f>
        <v>0.1</v>
      </c>
      <c r="T19" s="15">
        <f t="shared" si="3"/>
        <v>60.4</v>
      </c>
      <c r="U19" s="26">
        <f t="shared" si="8"/>
        <v>2.7149999999999976</v>
      </c>
      <c r="V19" s="26">
        <f>((((I19+I20+I21)/3)^2-((U19+U20+U21)/3)^2)/($F$44-((I19+I20+I21)/3)^2))*93</f>
        <v>0</v>
      </c>
      <c r="W19" s="27">
        <f>1*(T$5-$B$5)+93*(((($B$7/100)^(-$F$49)+($F$47-(($C19+$C20+$C21+$C22)/4)^2)^(-$F$48))/((T$7/100)^(-$F$49)+($F$47-((U19+U20+U21+U22)/4)^2)^(-$F$48)))^$F$50-1)+T11+V11</f>
        <v>3.373414704030706</v>
      </c>
      <c r="Y19" s="46">
        <f aca="true" t="shared" si="14" ref="Y19:Y40">Y18+0.05</f>
        <v>0.1</v>
      </c>
      <c r="Z19" s="15">
        <f t="shared" si="4"/>
        <v>61.3</v>
      </c>
      <c r="AA19" s="26">
        <f t="shared" si="9"/>
        <v>2.7149999999999976</v>
      </c>
      <c r="AB19" s="26">
        <f>((((O19+O20+O21)/3)^2-((AA19+AA20+AA21)/3)^2)/($F$44-((O19+O20+O21)/3)^2))*93</f>
        <v>1.6688988727526297</v>
      </c>
      <c r="AC19" s="27">
        <f>1*(Z$5-$B$5)+93*(((($B$7/100)^(-$F$49)+($F$47-(($C19+$C20+$C21+$C22)/4)^2)^(-$F$48))/((Z$7/100)^(-$F$49)+($F$47-((AA19+AA20+AA21+AA22)/4)^2)^(-$F$48)))^$F$50-1)+Z11+AB11</f>
        <v>6.482708471728248</v>
      </c>
    </row>
    <row r="20" spans="1:29" ht="12.75">
      <c r="A20" s="46">
        <f t="shared" si="10"/>
        <v>0.15000000000000002</v>
      </c>
      <c r="B20" s="15">
        <f t="shared" si="0"/>
        <v>59.65</v>
      </c>
      <c r="C20" s="26">
        <f t="shared" si="5"/>
        <v>2.7149999999999976</v>
      </c>
      <c r="D20" s="26">
        <v>0</v>
      </c>
      <c r="E20" s="27"/>
      <c r="G20" s="46">
        <f t="shared" si="11"/>
        <v>0.15000000000000002</v>
      </c>
      <c r="H20" s="15">
        <f t="shared" si="1"/>
        <v>60.550000000000004</v>
      </c>
      <c r="I20" s="26">
        <f t="shared" si="6"/>
        <v>2.7149999999999976</v>
      </c>
      <c r="J20" s="26">
        <f aca="true" t="shared" si="15" ref="J20:J25">((((C20+C21+C22)/3)^2-((I20+I21+I22)/3)^2)/($F$44-((C20+C21+C22)/3)^2))*100</f>
        <v>0</v>
      </c>
      <c r="K20" s="27">
        <f>0.65*(H$5-$B$5)+100*(((($B$7/100)^(-$F$49)+($F$47-(($C20+$C21+$C22+$C23)/4)^2)^(-$F$48))/((H$7/100)^(-$F$49)+($F$47-((I20+I21+I22+I23)/4)^2)^(-$F$48)))^$F$50-1)+H11+J11</f>
        <v>1.8355049083105257</v>
      </c>
      <c r="M20" s="46">
        <f t="shared" si="12"/>
        <v>0.15000000000000002</v>
      </c>
      <c r="N20" s="15">
        <f t="shared" si="2"/>
        <v>61.45</v>
      </c>
      <c r="O20" s="26">
        <f t="shared" si="7"/>
        <v>2.7149999999999976</v>
      </c>
      <c r="P20" s="26">
        <f aca="true" t="shared" si="16" ref="P20:P25">((((C20+C21+C22)/3)^2-((O20+O21+O22)/3)^2)/($F$44-((C20+C21+C22)/3)^2))*100</f>
        <v>2.2228717062743804</v>
      </c>
      <c r="Q20" s="27">
        <f>0.65*(N$5-$B$5)+100*(((($B$7/100)^(-$F$49)+($F$47-(($C20+$C21+$C22+$C23)/4)^2)^(-$F$48))/((N$7/100)^(-$F$49)+($F$47-((O20+O21+O22+O23)/4)^2)^(-$F$48)))^$F$50-1)+N11+P11</f>
        <v>5.518438449739893</v>
      </c>
      <c r="S20" s="46">
        <f t="shared" si="13"/>
        <v>0.15000000000000002</v>
      </c>
      <c r="T20" s="15">
        <f t="shared" si="3"/>
        <v>62.35</v>
      </c>
      <c r="U20" s="26">
        <f t="shared" si="8"/>
        <v>2.7149999999999976</v>
      </c>
      <c r="V20" s="26">
        <f aca="true" t="shared" si="17" ref="V20:V25">((((I20+I21+I22)/3)^2-((U20+U21+U22)/3)^2)/($F$44-((I20+I21+I22)/3)^2))*100</f>
        <v>4.790841343771693</v>
      </c>
      <c r="W20" s="27">
        <f>0.65*(T$5-$B$5)+100*(((($B$7/100)^(-$F$49)+($F$47-(($C20+$C21+$C22+$C23)/4)^2)^(-$F$48))/((T$7/100)^(-$F$49)+($F$47-((U20+U21+U22+U23)/4)^2)^(-$F$48)))^$F$50-1)+T11+V11</f>
        <v>9.468479930772467</v>
      </c>
      <c r="Y20" s="46">
        <f t="shared" si="14"/>
        <v>0.15000000000000002</v>
      </c>
      <c r="Z20" s="15">
        <f t="shared" si="4"/>
        <v>63.25</v>
      </c>
      <c r="AA20" s="26">
        <f t="shared" si="9"/>
        <v>2.7149999999999976</v>
      </c>
      <c r="AB20" s="26">
        <f aca="true" t="shared" si="18" ref="AB20:AB25">((((O20+O21+O22)/3)^2-((AA20+AA21+AA22)/3)^2)/($F$44-((O20+O21+O22)/3)^2))*100</f>
        <v>6.7688307596102835</v>
      </c>
      <c r="AC20" s="27">
        <f>0.65*(Z$5-$B$5)+100*(((($B$7/100)^(-$F$49)+($F$47-(($C20+$C21+$C22+$C23)/4)^2)^(-$F$48))/((Z$7/100)^(-$F$49)+($F$47-((AA20+AA21+AA22+AA23)/4)^2)^(-$F$48)))^$F$50-1)+Z11+AB11</f>
        <v>14.678611965936605</v>
      </c>
    </row>
    <row r="21" spans="1:29" ht="12.75">
      <c r="A21" s="46">
        <f t="shared" si="10"/>
        <v>0.2</v>
      </c>
      <c r="B21" s="15">
        <f t="shared" si="0"/>
        <v>61.599999999999994</v>
      </c>
      <c r="C21" s="26">
        <f t="shared" si="5"/>
        <v>2.7149999999999976</v>
      </c>
      <c r="D21" s="26">
        <v>0</v>
      </c>
      <c r="E21" s="27"/>
      <c r="G21" s="46">
        <f t="shared" si="11"/>
        <v>0.2</v>
      </c>
      <c r="H21" s="15">
        <f t="shared" si="1"/>
        <v>62.5</v>
      </c>
      <c r="I21" s="26">
        <f t="shared" si="6"/>
        <v>2.7149999999999976</v>
      </c>
      <c r="J21" s="26">
        <f t="shared" si="15"/>
        <v>2.5010435305843326</v>
      </c>
      <c r="K21" s="27">
        <f>0.4*(H$5-$B$5)+100*(((($B$7/100)^(-$F$49)+($F$47-(($C21+$C22+$C23+$C24)/4)^2)^(-$F$48))/((H$7/100)^(-$F$49)+($F$47-((I21+I22+I23+I24)/4)^2)^(-$F$48)))^$F$50-1)+H11+J11</f>
        <v>3.546019662361899</v>
      </c>
      <c r="M21" s="46">
        <f t="shared" si="12"/>
        <v>0.2</v>
      </c>
      <c r="N21" s="15">
        <f t="shared" si="2"/>
        <v>63.400000000000006</v>
      </c>
      <c r="O21" s="26">
        <f t="shared" si="7"/>
        <v>2.7149999999999976</v>
      </c>
      <c r="P21" s="26">
        <f t="shared" si="16"/>
        <v>7.154423541990777</v>
      </c>
      <c r="Q21" s="27">
        <f>0.4*(N$5-$B$5)+100*(((($B$7/100)^(-$F$49)+($F$47-(($C21+$C22+$C23+$C24)/4)^2)^(-$F$48))/((N$7/100)^(-$F$49)+($F$47-((O21+O22+O23+O24)/4)^2)^(-$F$48)))^$F$50-1)+N11+P11</f>
        <v>8.85905751045839</v>
      </c>
      <c r="S21" s="46">
        <f t="shared" si="13"/>
        <v>0.2</v>
      </c>
      <c r="T21" s="15">
        <f t="shared" si="3"/>
        <v>64.3</v>
      </c>
      <c r="U21" s="26">
        <f t="shared" si="8"/>
        <v>2.7149999999999976</v>
      </c>
      <c r="V21" s="26">
        <f t="shared" si="17"/>
        <v>9.396069924122905</v>
      </c>
      <c r="W21" s="27">
        <f>0.4*(T$5-$B$5)+100*(((($B$7/100)^(-$F$49)+($F$47-(($C21+$C22+$C23+$C24)/4)^2)^(-$F$48))/((T$7/100)^(-$F$49)+($F$47-((U21+U22+U23+U24)/4)^2)^(-$F$48)))^$F$50-1)+T11+V11</f>
        <v>14.410162713963114</v>
      </c>
      <c r="Y21" s="46">
        <f t="shared" si="14"/>
        <v>0.2</v>
      </c>
      <c r="Z21" s="15">
        <f t="shared" si="4"/>
        <v>65.2</v>
      </c>
      <c r="AA21" s="26">
        <f t="shared" si="9"/>
        <v>2.706779005292834</v>
      </c>
      <c r="AB21" s="26">
        <f t="shared" si="18"/>
        <v>10.88995596230816</v>
      </c>
      <c r="AC21" s="27">
        <f>0.4*(Z$5-$B$5)+100*(((($B$7/100)^(-$F$49)+($F$47-(($C21+$C22+$C23+$C24)/4)^2)^(-$F$48))/((Z$7/100)^(-$F$49)+($F$47-((AA21+AA22+AA23+AA24)/4)^2)^(-$F$48)))^$F$50-1)+Z11+AB11</f>
        <v>21.054239875604353</v>
      </c>
    </row>
    <row r="22" spans="1:29" ht="12.75">
      <c r="A22" s="46">
        <f t="shared" si="10"/>
        <v>0.25</v>
      </c>
      <c r="B22" s="15">
        <f t="shared" si="0"/>
        <v>63.55</v>
      </c>
      <c r="C22" s="26">
        <f t="shared" si="5"/>
        <v>2.7149999999999976</v>
      </c>
      <c r="D22" s="26">
        <v>0</v>
      </c>
      <c r="E22" s="27"/>
      <c r="G22" s="46">
        <f t="shared" si="11"/>
        <v>0.25</v>
      </c>
      <c r="H22" s="15">
        <f t="shared" si="1"/>
        <v>64.45</v>
      </c>
      <c r="I22" s="26">
        <f t="shared" si="6"/>
        <v>2.7149999999999976</v>
      </c>
      <c r="J22" s="26">
        <f t="shared" si="15"/>
        <v>4.607371797266949</v>
      </c>
      <c r="K22" s="27">
        <f>0.25*(H$5-$B$5)+100*(((($B$7/100)^(-$F$49)+($F$47-(($C22+$C23+$C24+$C25)/4)^2)^(-$F$48))/((H$7/100)^(-$F$49)+($F$47-((I22+I23+I24+I25)/4)^2)^(-$F$48)))^$F$50-1)+H11+J11</f>
        <v>4.8191717406927514</v>
      </c>
      <c r="M22" s="46">
        <f t="shared" si="12"/>
        <v>0.25</v>
      </c>
      <c r="N22" s="15">
        <f t="shared" si="2"/>
        <v>65.35</v>
      </c>
      <c r="O22" s="26">
        <f t="shared" si="7"/>
        <v>2.7048153977301093</v>
      </c>
      <c r="P22" s="26">
        <f t="shared" si="16"/>
        <v>11.182764180559774</v>
      </c>
      <c r="Q22" s="27">
        <f>0.25*(N$5-$B$5)+100*(((($B$7/100)^(-$F$49)+($F$47-(($C22+$C23+$C24+$C25)/4)^2)^(-$F$48))/((N$7/100)^(-$F$49)+($F$47-((O22+O23+O24+O25)/4)^2)^(-$F$48)))^$F$50-1)+N11+P11</f>
        <v>11.284485730512838</v>
      </c>
      <c r="S22" s="46">
        <f t="shared" si="13"/>
        <v>0.25</v>
      </c>
      <c r="T22" s="15">
        <f t="shared" si="3"/>
        <v>66.25</v>
      </c>
      <c r="U22" s="26">
        <f t="shared" si="8"/>
        <v>2.6930337523537573</v>
      </c>
      <c r="V22" s="26">
        <f t="shared" si="17"/>
        <v>12.840791283586542</v>
      </c>
      <c r="W22" s="27">
        <f>0.25*(T$5-$B$5)+100*(((($B$7/100)^(-$F$49)+($F$47-(($C22+$C23+$C24+$C25)/4)^2)^(-$F$48))/((T$7/100)^(-$F$49)+($F$47-((U22+U23+U24+U25)/4)^2)^(-$F$48)))^$F$50-1)+T11+V11</f>
        <v>17.92772769975688</v>
      </c>
      <c r="Y22" s="46">
        <f t="shared" si="14"/>
        <v>0.25</v>
      </c>
      <c r="Z22" s="15">
        <f t="shared" si="4"/>
        <v>67.15</v>
      </c>
      <c r="AA22" s="26">
        <f t="shared" si="9"/>
        <v>2.681252106977406</v>
      </c>
      <c r="AB22" s="26">
        <f t="shared" si="18"/>
        <v>12.307505614631058</v>
      </c>
      <c r="AC22" s="27">
        <f>0.25*(Z$5-$B$5)+100*(((($B$7/100)^(-$F$49)+($F$47-(($C22+$C23+$C24+$C25)/4)^2)^(-$F$48))/((Z$7/100)^(-$F$49)+($F$47-((AA22+AA23+AA24+AA25)/4)^2)^(-$F$48)))^$F$50-1)+Z11+AB11</f>
        <v>24.25624221615785</v>
      </c>
    </row>
    <row r="23" spans="1:29" ht="12.75">
      <c r="A23" s="46">
        <f t="shared" si="10"/>
        <v>0.3</v>
      </c>
      <c r="B23" s="15">
        <f t="shared" si="0"/>
        <v>65.5</v>
      </c>
      <c r="C23" s="26">
        <f t="shared" si="5"/>
        <v>2.702851790167384</v>
      </c>
      <c r="D23" s="26">
        <v>0</v>
      </c>
      <c r="E23" s="27"/>
      <c r="G23" s="46">
        <f t="shared" si="11"/>
        <v>0.3</v>
      </c>
      <c r="H23" s="15">
        <f t="shared" si="1"/>
        <v>66.4</v>
      </c>
      <c r="I23" s="26">
        <f t="shared" si="6"/>
        <v>2.6910701447910323</v>
      </c>
      <c r="J23" s="26">
        <f t="shared" si="15"/>
        <v>6.099996207763009</v>
      </c>
      <c r="K23" s="27">
        <f>0.1*(H$5-$B$5)+100*(((($B$7/100)^(-$F$49)+($F$47-(($C23+$C24+$C25+$C26)/4)^2)^(-$F$48))/((H$7/100)^(-$F$49)+($F$47-((I23+I24+I25+I26)/4)^2)^(-$F$48)))^$F$50-1)+H11+J11</f>
        <v>5.563657938611644</v>
      </c>
      <c r="M23" s="46">
        <f t="shared" si="12"/>
        <v>0.3</v>
      </c>
      <c r="N23" s="15">
        <f t="shared" si="2"/>
        <v>67.3</v>
      </c>
      <c r="O23" s="26">
        <f t="shared" si="7"/>
        <v>2.679288499414681</v>
      </c>
      <c r="P23" s="26">
        <f t="shared" si="16"/>
        <v>12.173090013948668</v>
      </c>
      <c r="Q23" s="27">
        <f>0.1*(N$5-$B$5)+100*(((($B$7/100)^(-$F$49)+($F$47-(($C23+$C24+$C25+$C26)/4)^2)^(-$F$48))/((N$7/100)^(-$F$49)+($F$47-((O23+O24+O25+O26)/4)^2)^(-$F$48)))^$F$50-1)+N11+P11</f>
        <v>11.38767431822889</v>
      </c>
      <c r="S23" s="46">
        <f t="shared" si="13"/>
        <v>0.3</v>
      </c>
      <c r="T23" s="15">
        <f t="shared" si="3"/>
        <v>68.2</v>
      </c>
      <c r="U23" s="26">
        <f t="shared" si="8"/>
        <v>2.667506854038329</v>
      </c>
      <c r="V23" s="26">
        <f t="shared" si="17"/>
        <v>11.422512388277603</v>
      </c>
      <c r="W23" s="27">
        <f>0.1*(T$5-$B$5)+100*(((($B$7/100)^(-$F$49)+($F$47-(($C23+$C24+$C25+$C26)/4)^2)^(-$F$48))/((T$7/100)^(-$F$49)+($F$47-((U23+U24+U25+U26)/4)^2)^(-$F$48)))^$F$50-1)+T11+V11</f>
        <v>17.139929458549453</v>
      </c>
      <c r="Y23" s="46">
        <f t="shared" si="14"/>
        <v>0.3</v>
      </c>
      <c r="Z23" s="15">
        <f t="shared" si="4"/>
        <v>69.1</v>
      </c>
      <c r="AA23" s="26">
        <f t="shared" si="9"/>
        <v>2.6557252086619774</v>
      </c>
      <c r="AB23" s="26">
        <f t="shared" si="18"/>
        <v>10.756127344034104</v>
      </c>
      <c r="AC23" s="27">
        <f>0.1*(Z$5-$B$5)+100*(((($B$7/100)^(-$F$49)+($F$47-(($C23+$C24+$C25+$C26)/4)^2)^(-$F$48))/((Z$7/100)^(-$F$49)+($F$47-((AA23+AA24+AA25+AA26)/4)^2)^(-$F$48)))^$F$50-1)+Z11+AB11</f>
        <v>22.468676916931575</v>
      </c>
    </row>
    <row r="24" spans="1:29" ht="12.75">
      <c r="A24" s="46">
        <f t="shared" si="10"/>
        <v>0.35</v>
      </c>
      <c r="B24" s="15">
        <f t="shared" si="0"/>
        <v>67.44999999999999</v>
      </c>
      <c r="C24" s="26">
        <f t="shared" si="5"/>
        <v>2.6773248918519554</v>
      </c>
      <c r="D24" s="26">
        <v>0</v>
      </c>
      <c r="E24" s="27"/>
      <c r="G24" s="46">
        <f t="shared" si="11"/>
        <v>0.35</v>
      </c>
      <c r="H24" s="15">
        <f t="shared" si="1"/>
        <v>68.35</v>
      </c>
      <c r="I24" s="26">
        <f t="shared" si="6"/>
        <v>2.665543246475604</v>
      </c>
      <c r="J24" s="26">
        <f t="shared" si="15"/>
        <v>5.338015418289163</v>
      </c>
      <c r="K24" s="27">
        <f>0.05*(H$5-$B$5)+100*(((($B$7/100)^(-$F$49)+($F$47-(($C24+$C25+$C26+$C27)/4)^2)^(-$F$48))/((H$7/100)^(-$F$49)+($F$47-((I24+I25+I26+I27)/4)^2)^(-$F$48)))^$F$50-1)+H11+J11</f>
        <v>4.62651371397973</v>
      </c>
      <c r="M24" s="46">
        <f t="shared" si="12"/>
        <v>0.35</v>
      </c>
      <c r="N24" s="15">
        <f t="shared" si="2"/>
        <v>69.25</v>
      </c>
      <c r="O24" s="26">
        <f t="shared" si="7"/>
        <v>2.6537616010992524</v>
      </c>
      <c r="P24" s="26">
        <f t="shared" si="16"/>
        <v>10.652261822546352</v>
      </c>
      <c r="Q24" s="27">
        <f>0.05*(N$5-$B$5)+100*(((($B$7/100)^(-$F$49)+($F$47-(($C24+$C25+$C26+$C27)/4)^2)^(-$F$48))/((N$7/100)^(-$F$49)+($F$47-((O24+O25+O26+O27)/4)^2)^(-$F$48)))^$F$50-1)+N11+P11</f>
        <v>9.635075242925062</v>
      </c>
      <c r="S24" s="46">
        <f t="shared" si="13"/>
        <v>0.35</v>
      </c>
      <c r="T24" s="15">
        <f t="shared" si="3"/>
        <v>70.15</v>
      </c>
      <c r="U24" s="26">
        <f t="shared" si="8"/>
        <v>2.6419799557229005</v>
      </c>
      <c r="V24" s="26">
        <f t="shared" si="17"/>
        <v>10.067328259765647</v>
      </c>
      <c r="W24" s="27">
        <f>0.05*(T$5-$B$5)+100*(((($B$7/100)^(-$F$49)+($F$47-(($C24+$C25+$C26+$C27)/4)^2)^(-$F$48))/((T$7/100)^(-$F$49)+($F$47-((U24+U25+U26+U27)/4)^2)^(-$F$48)))^$F$50-1)+T11+V11</f>
        <v>14.557187254730941</v>
      </c>
      <c r="Y24" s="46">
        <f t="shared" si="14"/>
        <v>0.35</v>
      </c>
      <c r="Z24" s="15">
        <f t="shared" si="4"/>
        <v>71.05</v>
      </c>
      <c r="AA24" s="26">
        <f t="shared" si="9"/>
        <v>2.630198310346549</v>
      </c>
      <c r="AB24" s="26">
        <f t="shared" si="18"/>
        <v>9.540867572456795</v>
      </c>
      <c r="AC24" s="27">
        <f>0.05*(Z$5-$B$5)+100*(((($B$7/100)^(-$F$49)+($F$47-(($C24+$C25+$C26+$C27)/4)^2)^(-$F$48))/((Z$7/100)^(-$F$49)+($F$47-((AA24+AA25+AA26+AA27)/4)^2)^(-$F$48)))^$F$50-1)+Z11+AB11</f>
        <v>18.947873190091393</v>
      </c>
    </row>
    <row r="25" spans="1:29" ht="12.75">
      <c r="A25" s="46">
        <f t="shared" si="10"/>
        <v>0.39999999999999997</v>
      </c>
      <c r="B25" s="15">
        <f t="shared" si="0"/>
        <v>69.39999999999999</v>
      </c>
      <c r="C25" s="26">
        <f t="shared" si="5"/>
        <v>2.651797993536527</v>
      </c>
      <c r="D25" s="26">
        <v>0</v>
      </c>
      <c r="E25" s="27"/>
      <c r="G25" s="46">
        <f t="shared" si="11"/>
        <v>0.39999999999999997</v>
      </c>
      <c r="H25" s="15">
        <f t="shared" si="1"/>
        <v>70.3</v>
      </c>
      <c r="I25" s="26">
        <f t="shared" si="6"/>
        <v>2.6400163481601755</v>
      </c>
      <c r="J25" s="26">
        <f t="shared" si="15"/>
        <v>4.739754039596111</v>
      </c>
      <c r="K25" s="27">
        <f>100*(((($B$7/100)^(-$F$49)+($F$47-(($C25+$C26+$C27+$C28)/4)^2)^(-$F$48))/((H$7/100)^(-$F$49)+($F$47-((I25+I26+I27+I28)/4)^2)^(-$F$48)))^$F$50-1)+H$11+J$11</f>
        <v>3.7867198200547625</v>
      </c>
      <c r="M25" s="46">
        <f t="shared" si="12"/>
        <v>0.39999999999999997</v>
      </c>
      <c r="N25" s="15">
        <f t="shared" si="2"/>
        <v>71.2</v>
      </c>
      <c r="O25" s="26">
        <f t="shared" si="7"/>
        <v>2.628234702783824</v>
      </c>
      <c r="P25" s="26">
        <f t="shared" si="16"/>
        <v>9.45819739316279</v>
      </c>
      <c r="Q25" s="27">
        <f>100*(((($B$7/100)^(-$F$49)+($F$47-(($C25+$C26+$C27+$C28)/4)^2)^(-$F$48))/((N$7/100)^(-$F$49)+($F$47-((O25+O26+O27+O28)/4)^2)^(-$F$48)))^$F$50-1)+N$11+P$11</f>
        <v>8.11301921869212</v>
      </c>
      <c r="S25" s="46">
        <f t="shared" si="13"/>
        <v>0.39999999999999997</v>
      </c>
      <c r="T25" s="15">
        <f t="shared" si="3"/>
        <v>72.1</v>
      </c>
      <c r="U25" s="26">
        <f t="shared" si="8"/>
        <v>2.6164530574074725</v>
      </c>
      <c r="V25" s="26">
        <f t="shared" si="17"/>
        <v>8.989496020340571</v>
      </c>
      <c r="W25" s="27">
        <f>100*(((($B$7/100)^(-$F$49)+($F$47-(($C25+$C26+$C27+$C28)/4)^2)^(-$F$48))/((T$7/100)^(-$F$49)+($F$47-((U25+U26+U27+U28)/4)^2)^(-$F$48)))^$F$50-1)+T$11+V$11</f>
        <v>12.343491579979847</v>
      </c>
      <c r="Y25" s="46">
        <f t="shared" si="14"/>
        <v>0.39999999999999997</v>
      </c>
      <c r="Z25" s="15">
        <f t="shared" si="4"/>
        <v>73</v>
      </c>
      <c r="AA25" s="26">
        <f t="shared" si="9"/>
        <v>2.6046714120311205</v>
      </c>
      <c r="AB25" s="26">
        <f t="shared" si="18"/>
        <v>8.563044954393341</v>
      </c>
      <c r="AC25" s="27">
        <f>100*(((($B$7/100)^(-$F$49)+($F$47-(($C25+$C26+$C27+$C28)/4)^2)^(-$F$48))/((Z$7/100)^(-$F$49)+($F$47-((AA25+AA26+AA27+AA28)/4)^2)^(-$F$48)))^$F$50-1)+Z$11+AB$11</f>
        <v>15.930182028333583</v>
      </c>
    </row>
    <row r="26" spans="1:29" ht="12.75">
      <c r="A26" s="46">
        <f t="shared" si="10"/>
        <v>0.44999999999999996</v>
      </c>
      <c r="B26" s="15">
        <f t="shared" si="0"/>
        <v>71.35</v>
      </c>
      <c r="C26" s="26">
        <f t="shared" si="5"/>
        <v>2.6262710952210986</v>
      </c>
      <c r="D26" s="26">
        <v>0</v>
      </c>
      <c r="E26" s="27"/>
      <c r="G26" s="46">
        <f t="shared" si="11"/>
        <v>0.44999999999999996</v>
      </c>
      <c r="H26" s="15">
        <f t="shared" si="1"/>
        <v>72.25</v>
      </c>
      <c r="I26" s="26">
        <f t="shared" si="6"/>
        <v>2.614489449844747</v>
      </c>
      <c r="J26" s="26">
        <f>((((C26+C27+C28)/3)^2-((I26+I27+I28)/3)^2)/($F$44-((C26+C27+C28)/3)^2))*98</f>
        <v>4.172354493504289</v>
      </c>
      <c r="K26" s="27">
        <f>100*(((($B$7/100)^(-$F$49)+($F$47-(($C26+$C27+$C28+$C29)/4)^2)^(-$F$48))/((H$7/100)^(-$F$49)+($F$47-((I26+I27+I28+I29)/4)^2)^(-$F$48)))^$F$50-1)+H$11+J$11</f>
        <v>3.014155607453972</v>
      </c>
      <c r="M26" s="46">
        <f t="shared" si="12"/>
        <v>0.44999999999999996</v>
      </c>
      <c r="N26" s="15">
        <f t="shared" si="2"/>
        <v>73.15</v>
      </c>
      <c r="O26" s="26">
        <f t="shared" si="7"/>
        <v>2.602707804468395</v>
      </c>
      <c r="P26" s="26">
        <f>((((C26+C27+C28)/3)^2-((O26+O27+O28)/3)^2)/($F$44-((C26+C27+C28)/3)^2))*98</f>
        <v>8.325764871893893</v>
      </c>
      <c r="Q26" s="27">
        <f>100*(((($B$7/100)^(-$F$49)+($F$47-(($C26+$C27+$C28+$C29)/4)^2)^(-$F$48))/((N$7/100)^(-$F$49)+($F$47-((O26+O27+O28+O29)/4)^2)^(-$F$48)))^$F$50-1)+N$11+P$11</f>
        <v>6.759275324115066</v>
      </c>
      <c r="S26" s="46">
        <f t="shared" si="13"/>
        <v>0.44999999999999996</v>
      </c>
      <c r="T26" s="15">
        <f t="shared" si="3"/>
        <v>74.05</v>
      </c>
      <c r="U26" s="26">
        <f t="shared" si="8"/>
        <v>2.590926159092044</v>
      </c>
      <c r="V26" s="26">
        <f>((((I26+I27+I28)/3)^2-((U26+U27+U28)/3)^2)/($F$44-((I26+I27+I28)/3)^2))*98</f>
        <v>7.949429323709675</v>
      </c>
      <c r="W26" s="27">
        <f>100*(((($B$7/100)^(-$F$49)+($F$47-(($C26+$C27+$C28+$C29)/4)^2)^(-$F$48))/((T$7/100)^(-$F$49)+($F$47-((U26+U27+U28+U29)/4)^2)^(-$F$48)))^$F$50-1)+T$11+V$11</f>
        <v>10.403658012826389</v>
      </c>
      <c r="Y26" s="46">
        <f t="shared" si="14"/>
        <v>0.44999999999999996</v>
      </c>
      <c r="Z26" s="15">
        <f t="shared" si="4"/>
        <v>74.94999999999999</v>
      </c>
      <c r="AA26" s="26">
        <f t="shared" si="9"/>
        <v>2.5791445137156925</v>
      </c>
      <c r="AB26" s="26">
        <f>((((O26+O27+O28)/3)^2-((AA26+AA27+AA28)/3)^2)/($F$44-((O26+O27+O28)/3)^2))*98</f>
        <v>7.603978822017039</v>
      </c>
      <c r="AC26" s="27">
        <f>100*(((($B$7/100)^(-$F$49)+($F$47-(($C26+$C27+$C28+$C29)/4)^2)^(-$F$48))/((Z$7/100)^(-$F$49)+($F$47-((AA26+AA27+AA28+AA29)/4)^2)^(-$F$48)))^$F$50-1)+Z$11+AB$11</f>
        <v>13.289226286412358</v>
      </c>
    </row>
    <row r="27" spans="1:29" ht="12.75">
      <c r="A27" s="46">
        <f t="shared" si="10"/>
        <v>0.49999999999999994</v>
      </c>
      <c r="B27" s="15">
        <f t="shared" si="0"/>
        <v>73.3</v>
      </c>
      <c r="C27" s="26">
        <f t="shared" si="5"/>
        <v>2.60074419690567</v>
      </c>
      <c r="D27" s="26">
        <v>0</v>
      </c>
      <c r="E27" s="27"/>
      <c r="G27" s="46">
        <f t="shared" si="11"/>
        <v>0.49999999999999994</v>
      </c>
      <c r="H27" s="15">
        <f t="shared" si="1"/>
        <v>74.2</v>
      </c>
      <c r="I27" s="26">
        <f t="shared" si="6"/>
        <v>2.5889625515293186</v>
      </c>
      <c r="J27" s="26">
        <f>((((C27+C28+C29)/3)^2-((I27+I28+I29)/3)^2)/($F$44-((C27+C28+C29)/3)^2))*95</f>
        <v>3.6674307256143246</v>
      </c>
      <c r="K27" s="27">
        <f aca="true" t="shared" si="19" ref="K27:K37">100*(((($B$7/100)^(-$F$49)+($F$47-(($C27+$C28+$C29+$C30)/4)^2)^(-$F$48))/((H$7/100)^(-$F$49)+($F$47-((I27+I28+I29+I30)/4)^2)^(-$F$48)))^$F$50-1)+H$11+J$11</f>
        <v>2.291678354702742</v>
      </c>
      <c r="M27" s="46">
        <f t="shared" si="12"/>
        <v>0.49999999999999994</v>
      </c>
      <c r="N27" s="15">
        <f t="shared" si="2"/>
        <v>75.1</v>
      </c>
      <c r="O27" s="26">
        <f t="shared" si="7"/>
        <v>2.577180906152967</v>
      </c>
      <c r="P27" s="26">
        <f>((((C27+C28+C29)/3)^2-((O27+O28+O29)/3)^2)/($F$44-((C27+C28+C29)/3)^2))*95</f>
        <v>7.318044449319086</v>
      </c>
      <c r="Q27" s="27">
        <f aca="true" t="shared" si="20" ref="Q27:Q36">100*(((($B$7/100)^(-$F$49)+($F$47-(($C27+$C28+$C29+$C30)/4)^2)^(-$F$48))/((N$7/100)^(-$F$49)+($F$47-((O27+O28+O29+O30)/4)^2)^(-$F$48)))^$F$50-1)+N$11+P$11</f>
        <v>5.536038033246493</v>
      </c>
      <c r="S27" s="46">
        <f t="shared" si="13"/>
        <v>0.49999999999999994</v>
      </c>
      <c r="T27" s="15">
        <f t="shared" si="3"/>
        <v>76</v>
      </c>
      <c r="U27" s="26">
        <f t="shared" si="8"/>
        <v>2.565399260776615</v>
      </c>
      <c r="V27" s="26">
        <f>((((I27+I28+I29)/3)^2-((U27+U28+U29)/3)^2)/($F$44-((I27+I28+I29)/3)^2))*95</f>
        <v>7.013651690667224</v>
      </c>
      <c r="W27" s="27">
        <f aca="true" t="shared" si="21" ref="W27:W36">100*(((($B$7/100)^(-$F$49)+($F$47-(($C27+$C28+$C29+$C30)/4)^2)^(-$F$48))/((T$7/100)^(-$F$49)+($F$47-((U27+U28+U29+U30)/4)^2)^(-$F$48)))^$F$50-1)+T$11+V$11</f>
        <v>8.67850309157927</v>
      </c>
      <c r="Y27" s="46">
        <f t="shared" si="14"/>
        <v>0.49999999999999994</v>
      </c>
      <c r="Z27" s="15">
        <f t="shared" si="4"/>
        <v>76.89999999999999</v>
      </c>
      <c r="AA27" s="26">
        <f t="shared" si="9"/>
        <v>2.553617615400264</v>
      </c>
      <c r="AB27" s="26">
        <f>((((O27+O28+O29)/3)^2-((AA27+AA28+AA29)/3)^2)/($F$44-((O27+O28+O29)/3)^2))*95</f>
        <v>6.732182633737518</v>
      </c>
      <c r="AC27" s="27">
        <f aca="true" t="shared" si="22" ref="AC27:AC36">100*(((($B$7/100)^(-$F$49)+($F$47-(($C27+$C28+$C29+$C30)/4)^2)^(-$F$48))/((Z$7/100)^(-$F$49)+($F$47-((AA27+AA28+AA29+AA30)/4)^2)^(-$F$48)))^$F$50-1)+Z$11+AB$11</f>
        <v>10.946566307667794</v>
      </c>
    </row>
    <row r="28" spans="1:29" ht="12.75">
      <c r="A28" s="46">
        <f t="shared" si="10"/>
        <v>0.5499999999999999</v>
      </c>
      <c r="B28" s="15">
        <f t="shared" si="0"/>
        <v>75.25</v>
      </c>
      <c r="C28" s="26">
        <f t="shared" si="5"/>
        <v>2.5752172985902417</v>
      </c>
      <c r="D28" s="26">
        <v>0</v>
      </c>
      <c r="E28" s="27"/>
      <c r="G28" s="46">
        <f t="shared" si="11"/>
        <v>0.5499999999999999</v>
      </c>
      <c r="H28" s="15">
        <f t="shared" si="1"/>
        <v>76.15</v>
      </c>
      <c r="I28" s="26">
        <f t="shared" si="6"/>
        <v>2.56343565321389</v>
      </c>
      <c r="J28" s="26">
        <f>((((C28+C29+C30)/3)^2-((I28+I29+I30)/3)^2)/($F$44-((C28+C29+C30)/3)^2))*91</f>
        <v>3.2103079052735524</v>
      </c>
      <c r="K28" s="27">
        <f t="shared" si="19"/>
        <v>1.6103914947004583</v>
      </c>
      <c r="M28" s="46">
        <f t="shared" si="12"/>
        <v>0.5499999999999999</v>
      </c>
      <c r="N28" s="15">
        <f t="shared" si="2"/>
        <v>77.05</v>
      </c>
      <c r="O28" s="26">
        <f t="shared" si="7"/>
        <v>2.5516540078375387</v>
      </c>
      <c r="P28" s="26">
        <f>((((C28+C29+C30)/3)^2-((O28+O29+O30)/3)^2)/($F$44-((C28+C29+C30)/3)^2))*91</f>
        <v>6.405747221990846</v>
      </c>
      <c r="Q28" s="27">
        <f t="shared" si="20"/>
        <v>4.420553669019811</v>
      </c>
      <c r="S28" s="46">
        <f t="shared" si="13"/>
        <v>0.5499999999999999</v>
      </c>
      <c r="T28" s="15">
        <f t="shared" si="3"/>
        <v>77.94999999999999</v>
      </c>
      <c r="U28" s="26">
        <f t="shared" si="8"/>
        <v>2.539872362461187</v>
      </c>
      <c r="V28" s="26">
        <f>((((I28+I29+I30)/3)^2-((U28+U29+U30)/3)^2)/($F$44-((I28+I29+I30)/3)^2))*91</f>
        <v>6.158741298959762</v>
      </c>
      <c r="W28" s="27">
        <f t="shared" si="21"/>
        <v>7.130718011471604</v>
      </c>
      <c r="Y28" s="46">
        <f t="shared" si="14"/>
        <v>0.5499999999999999</v>
      </c>
      <c r="Z28" s="15">
        <f t="shared" si="4"/>
        <v>78.85</v>
      </c>
      <c r="AA28" s="26">
        <f t="shared" si="9"/>
        <v>2.5280907170848357</v>
      </c>
      <c r="AB28" s="26">
        <f>((((O28+O29+O30)/3)^2-((AA28+AA29+AA30)/3)^2)/($F$44-((O28+O29+O30)/3)^2))*91</f>
        <v>5.928919467662607</v>
      </c>
      <c r="AC28" s="27">
        <f t="shared" si="22"/>
        <v>8.852459064673134</v>
      </c>
    </row>
    <row r="29" spans="1:29" ht="12.75">
      <c r="A29" s="46">
        <f t="shared" si="10"/>
        <v>0.6</v>
      </c>
      <c r="B29" s="15">
        <f t="shared" si="0"/>
        <v>77.19999999999999</v>
      </c>
      <c r="C29" s="26">
        <f t="shared" si="5"/>
        <v>2.5496904002748133</v>
      </c>
      <c r="D29" s="26">
        <v>0</v>
      </c>
      <c r="E29" s="27"/>
      <c r="G29" s="46">
        <f t="shared" si="11"/>
        <v>0.6</v>
      </c>
      <c r="H29" s="15">
        <f t="shared" si="1"/>
        <v>78.1</v>
      </c>
      <c r="I29" s="26">
        <f t="shared" si="6"/>
        <v>2.537908754898462</v>
      </c>
      <c r="J29" s="26">
        <f>((((C29+C30+C31)/3)^2-((I29+I30+I31)/3)^2)/($F$44-((C29+C30+C31)/3)^2))*87</f>
        <v>2.8231864570193896</v>
      </c>
      <c r="K29" s="27">
        <f t="shared" si="19"/>
        <v>0.9665275841078236</v>
      </c>
      <c r="M29" s="46">
        <f t="shared" si="12"/>
        <v>0.6</v>
      </c>
      <c r="N29" s="15">
        <f t="shared" si="2"/>
        <v>79</v>
      </c>
      <c r="O29" s="26">
        <f t="shared" si="7"/>
        <v>2.5261271095221103</v>
      </c>
      <c r="P29" s="26">
        <f>((((C29+C30+C31)/3)^2-((O29+O30+O31)/3)^2)/($F$44-((C29+C30+C31)/3)^2))*87</f>
        <v>5.633164740856492</v>
      </c>
      <c r="Q29" s="27">
        <f t="shared" si="20"/>
        <v>3.3992524055633355</v>
      </c>
      <c r="S29" s="46">
        <f t="shared" si="13"/>
        <v>0.6</v>
      </c>
      <c r="T29" s="15">
        <f t="shared" si="3"/>
        <v>79.9</v>
      </c>
      <c r="U29" s="26">
        <f t="shared" si="8"/>
        <v>2.5143454641457583</v>
      </c>
      <c r="V29" s="26">
        <f>((((I29+I30+I31)/3)^2-((U29+U30+U31)/3)^2)/($F$44-((I29+I30+I31)/3)^2))*87</f>
        <v>5.4305255642897</v>
      </c>
      <c r="W29" s="27">
        <f t="shared" si="21"/>
        <v>5.736230385173324</v>
      </c>
      <c r="Y29" s="46">
        <f t="shared" si="14"/>
        <v>0.6</v>
      </c>
      <c r="Z29" s="15">
        <f t="shared" si="4"/>
        <v>80.8</v>
      </c>
      <c r="AA29" s="26">
        <f t="shared" si="9"/>
        <v>2.502563818769407</v>
      </c>
      <c r="AB29" s="26">
        <f>((((O29+O30+O31)/3)^2-((AA29+AA30+AA31)/3)^2)/($F$44-((O29+O30+O31)/3)^2))*87</f>
        <v>5.240983502455857</v>
      </c>
      <c r="AC29" s="27">
        <f t="shared" si="22"/>
        <v>6.974207215303907</v>
      </c>
    </row>
    <row r="30" spans="1:29" ht="12.75">
      <c r="A30" s="46">
        <f t="shared" si="10"/>
        <v>0.65</v>
      </c>
      <c r="B30" s="15">
        <f t="shared" si="0"/>
        <v>79.15</v>
      </c>
      <c r="C30" s="26">
        <f t="shared" si="5"/>
        <v>2.524163501959385</v>
      </c>
      <c r="D30" s="26">
        <v>0</v>
      </c>
      <c r="E30" s="27"/>
      <c r="G30" s="46">
        <f t="shared" si="11"/>
        <v>0.65</v>
      </c>
      <c r="H30" s="15">
        <f t="shared" si="1"/>
        <v>80.05000000000001</v>
      </c>
      <c r="I30" s="26">
        <f t="shared" si="6"/>
        <v>2.512381856583033</v>
      </c>
      <c r="J30" s="26">
        <f>((((C30+C31+C32)/3)^2-((I30+I31+I32)/3)^2)/($F$44-((C30+C31+C32)/3)^2))*80</f>
        <v>2.4013425865706735</v>
      </c>
      <c r="K30" s="27">
        <f t="shared" si="19"/>
        <v>0.35927271304825315</v>
      </c>
      <c r="M30" s="46">
        <f t="shared" si="12"/>
        <v>0.65</v>
      </c>
      <c r="N30" s="15">
        <f t="shared" si="2"/>
        <v>80.95</v>
      </c>
      <c r="O30" s="26">
        <f t="shared" si="7"/>
        <v>2.500600211206682</v>
      </c>
      <c r="P30" s="26">
        <f>((((C30+C31+C32)/3)^2-((O30+O31+O32)/3)^2)/($F$44-((C30+C31+C32)/3)^2))*80</f>
        <v>4.791335533319272</v>
      </c>
      <c r="Q30" s="27">
        <f t="shared" si="20"/>
        <v>2.4639153350985543</v>
      </c>
      <c r="S30" s="46">
        <f t="shared" si="13"/>
        <v>0.65</v>
      </c>
      <c r="T30" s="15">
        <f t="shared" si="3"/>
        <v>81.85</v>
      </c>
      <c r="U30" s="26">
        <f t="shared" si="8"/>
        <v>2.4888185658303303</v>
      </c>
      <c r="V30" s="26">
        <f>((((I30+I31+I32)/3)^2-((U30+U31+U32)/3)^2)/($F$44-((I30+I31+I32)/3)^2))*80</f>
        <v>4.629668501980937</v>
      </c>
      <c r="W30" s="27">
        <f t="shared" si="21"/>
        <v>4.47873822360676</v>
      </c>
      <c r="Y30" s="46">
        <f t="shared" si="14"/>
        <v>0.65</v>
      </c>
      <c r="Z30" s="15">
        <f t="shared" si="4"/>
        <v>82.75</v>
      </c>
      <c r="AA30" s="26">
        <f t="shared" si="9"/>
        <v>2.4770369204539784</v>
      </c>
      <c r="AB30" s="26">
        <f>((((O30+O31+O32)/3)^2-((AA30+AA31+AA32)/3)^2)/($F$44-((O30+O31+O32)/3)^2))*80</f>
        <v>4.477756548288378</v>
      </c>
      <c r="AC30" s="27">
        <f t="shared" si="22"/>
        <v>5.288924099263337</v>
      </c>
    </row>
    <row r="31" spans="1:29" ht="12.75">
      <c r="A31" s="46">
        <f t="shared" si="10"/>
        <v>0.7000000000000001</v>
      </c>
      <c r="B31" s="15">
        <f t="shared" si="0"/>
        <v>81.1</v>
      </c>
      <c r="C31" s="26">
        <f t="shared" si="5"/>
        <v>2.4986366036439565</v>
      </c>
      <c r="D31" s="26">
        <v>0</v>
      </c>
      <c r="E31" s="27"/>
      <c r="G31" s="46">
        <f t="shared" si="11"/>
        <v>0.7000000000000001</v>
      </c>
      <c r="H31" s="15">
        <f t="shared" si="1"/>
        <v>82</v>
      </c>
      <c r="I31" s="26">
        <f t="shared" si="6"/>
        <v>2.486854958267605</v>
      </c>
      <c r="J31" s="26">
        <f>((((C31+C32+C33)/3)^2-((I31+I32+I33)/3)^2)/($F$44-((C31+C32+C33)/3)^2))*70</f>
        <v>1.952992405463887</v>
      </c>
      <c r="K31" s="27">
        <f t="shared" si="19"/>
        <v>-0.21076687181074139</v>
      </c>
      <c r="M31" s="46">
        <f t="shared" si="12"/>
        <v>0.7000000000000001</v>
      </c>
      <c r="N31" s="15">
        <f t="shared" si="2"/>
        <v>82.9</v>
      </c>
      <c r="O31" s="26">
        <f t="shared" si="7"/>
        <v>2.4750733128912534</v>
      </c>
      <c r="P31" s="26">
        <f>((((C31+C32+C33)/3)^2-((O31+O32+O33)/3)^2)/($F$44-((C31+C32+C33)/3)^2))*70</f>
        <v>3.896658737710044</v>
      </c>
      <c r="Q31" s="27">
        <f t="shared" si="20"/>
        <v>1.6091573786498614</v>
      </c>
      <c r="S31" s="46">
        <f t="shared" si="13"/>
        <v>0.7000000000000001</v>
      </c>
      <c r="T31" s="15">
        <f t="shared" si="3"/>
        <v>83.80000000000001</v>
      </c>
      <c r="U31" s="26">
        <f t="shared" si="8"/>
        <v>2.4632916675149015</v>
      </c>
      <c r="V31" s="26">
        <f>((((I31+I32+I33)/3)^2-((U31+U32+U33)/3)^2)/($F$44-((I31+I32+I33)/3)^2))*70</f>
        <v>3.7727473495402584</v>
      </c>
      <c r="W31" s="27">
        <f t="shared" si="21"/>
        <v>3.3462460590600207</v>
      </c>
      <c r="Y31" s="46">
        <f t="shared" si="14"/>
        <v>0.7000000000000001</v>
      </c>
      <c r="Z31" s="15">
        <f t="shared" si="4"/>
        <v>84.7</v>
      </c>
      <c r="AA31" s="26">
        <f t="shared" si="9"/>
        <v>2.45151002213855</v>
      </c>
      <c r="AB31" s="26">
        <f>((((O31+O32+O33)/3)^2-((AA31+AA32+AA33)/3)^2)/($F$44-((O31+O32+O33)/3)^2))*70</f>
        <v>3.655846093090639</v>
      </c>
      <c r="AC31" s="27">
        <f t="shared" si="22"/>
        <v>3.7790757588359147</v>
      </c>
    </row>
    <row r="32" spans="1:29" ht="12.75">
      <c r="A32" s="46">
        <f t="shared" si="10"/>
        <v>0.7500000000000001</v>
      </c>
      <c r="B32" s="15">
        <f t="shared" si="0"/>
        <v>83.05</v>
      </c>
      <c r="C32" s="26">
        <f t="shared" si="5"/>
        <v>2.473109705328528</v>
      </c>
      <c r="D32" s="26">
        <v>0</v>
      </c>
      <c r="E32" s="27"/>
      <c r="G32" s="46">
        <f t="shared" si="11"/>
        <v>0.7500000000000001</v>
      </c>
      <c r="H32" s="15">
        <f t="shared" si="1"/>
        <v>83.95</v>
      </c>
      <c r="I32" s="26">
        <f t="shared" si="6"/>
        <v>2.4613280599521765</v>
      </c>
      <c r="J32" s="26">
        <f>((((C32+C33+C34)/3)^2-((I32+I33+I34)/3)^2)/($F$44-((C32+C33+C34)/3)^2))*60</f>
        <v>1.5624848981554447</v>
      </c>
      <c r="K32" s="27">
        <f t="shared" si="19"/>
        <v>-0.7426039339450963</v>
      </c>
      <c r="M32" s="46">
        <f t="shared" si="12"/>
        <v>0.7500000000000001</v>
      </c>
      <c r="N32" s="15">
        <f t="shared" si="2"/>
        <v>84.85000000000001</v>
      </c>
      <c r="O32" s="26">
        <f t="shared" si="7"/>
        <v>2.4495464145758246</v>
      </c>
      <c r="P32" s="26">
        <f>((((C32+C33+C34)/3)^2-((O32+O33+O34)/3)^2)/($F$44-((C32+C33+C34)/3)^2))*60</f>
        <v>3.1174304985231336</v>
      </c>
      <c r="Q32" s="27">
        <f t="shared" si="20"/>
        <v>0.8308303286990837</v>
      </c>
      <c r="S32" s="46">
        <f t="shared" si="13"/>
        <v>0.7500000000000001</v>
      </c>
      <c r="T32" s="15">
        <f t="shared" si="3"/>
        <v>85.75</v>
      </c>
      <c r="U32" s="26">
        <f t="shared" si="8"/>
        <v>2.4377647691994735</v>
      </c>
      <c r="V32" s="26">
        <f>((((I32+I33+I34)/3)^2-((U32+U33+U34)/3)^2)/($F$44-((I32+I33+I34)/3)^2))*60</f>
        <v>3.023612748653386</v>
      </c>
      <c r="W32" s="27">
        <f t="shared" si="21"/>
        <v>2.3289413550912963</v>
      </c>
      <c r="Y32" s="46">
        <f t="shared" si="14"/>
        <v>0.7500000000000001</v>
      </c>
      <c r="Z32" s="15">
        <f t="shared" si="4"/>
        <v>86.65</v>
      </c>
      <c r="AA32" s="26">
        <f t="shared" si="9"/>
        <v>2.4259831238231215</v>
      </c>
      <c r="AB32" s="26">
        <f>((((O32+O33+O34)/3)^2-((AA32+AA33+AA34)/3)^2)/($F$44-((O32+O33+O34)/3)^2))*60</f>
        <v>2.934789914279532</v>
      </c>
      <c r="AC32" s="27">
        <f t="shared" si="22"/>
        <v>2.429847662398088</v>
      </c>
    </row>
    <row r="33" spans="1:29" ht="12.75">
      <c r="A33" s="46">
        <f t="shared" si="10"/>
        <v>0.8000000000000002</v>
      </c>
      <c r="B33" s="15">
        <f t="shared" si="0"/>
        <v>85</v>
      </c>
      <c r="C33" s="26">
        <f t="shared" si="5"/>
        <v>2.4475828070130996</v>
      </c>
      <c r="D33" s="26">
        <v>0</v>
      </c>
      <c r="E33" s="27"/>
      <c r="G33" s="46">
        <f t="shared" si="11"/>
        <v>0.8000000000000002</v>
      </c>
      <c r="H33" s="15">
        <f t="shared" si="1"/>
        <v>85.9</v>
      </c>
      <c r="I33" s="26">
        <f t="shared" si="6"/>
        <v>2.435801161636748</v>
      </c>
      <c r="J33" s="26">
        <f>((((C33+C34+C35)/3)^2-((I33+I34+I35)/3)^2)/($F$44-((C33+C34+C35)/3)^2))*52</f>
        <v>1.2686185774081484</v>
      </c>
      <c r="K33" s="27">
        <f t="shared" si="19"/>
        <v>-1.2355130347579735</v>
      </c>
      <c r="M33" s="46">
        <f t="shared" si="12"/>
        <v>0.8000000000000002</v>
      </c>
      <c r="N33" s="15">
        <f t="shared" si="2"/>
        <v>86.80000000000001</v>
      </c>
      <c r="O33" s="26">
        <f t="shared" si="7"/>
        <v>2.424019516260396</v>
      </c>
      <c r="P33" s="26">
        <f>((((C33+C34+C35)/3)^2-((O33+O34+O35)/3)^2)/($F$44-((C33+C34+C35)/3)^2))*52</f>
        <v>2.531051147790833</v>
      </c>
      <c r="Q33" s="27">
        <f t="shared" si="20"/>
        <v>0.12508749438666644</v>
      </c>
      <c r="S33" s="46">
        <f t="shared" si="13"/>
        <v>0.8000000000000002</v>
      </c>
      <c r="T33" s="15">
        <f t="shared" si="3"/>
        <v>87.7</v>
      </c>
      <c r="U33" s="26">
        <f t="shared" si="8"/>
        <v>2.412237870884045</v>
      </c>
      <c r="V33" s="26">
        <f>((((I33+I34+I35)/3)^2-((U33+U34+U35)/3)^2)/($F$44-((I33+I34+I35)/3)^2))*52</f>
        <v>2.458695540680161</v>
      </c>
      <c r="W33" s="27">
        <f t="shared" si="21"/>
        <v>1.4179836989984151</v>
      </c>
      <c r="Y33" s="46">
        <f t="shared" si="14"/>
        <v>0.8000000000000002</v>
      </c>
      <c r="Z33" s="15">
        <f t="shared" si="4"/>
        <v>88.60000000000001</v>
      </c>
      <c r="AA33" s="26">
        <f t="shared" si="9"/>
        <v>2.400456225507693</v>
      </c>
      <c r="AB33" s="26">
        <f>((((O33+O34+O35)/3)^2-((AA33+AA34+AA35)/3)^2)/($F$44-((O33+O34+O35)/3)^2))*52</f>
        <v>2.389977223629793</v>
      </c>
      <c r="AC33" s="27">
        <f t="shared" si="22"/>
        <v>1.227714072669439</v>
      </c>
    </row>
    <row r="34" spans="1:29" ht="12.75">
      <c r="A34" s="46">
        <f t="shared" si="10"/>
        <v>0.8500000000000002</v>
      </c>
      <c r="B34" s="15">
        <f t="shared" si="0"/>
        <v>86.95</v>
      </c>
      <c r="C34" s="26">
        <f t="shared" si="5"/>
        <v>2.422055908697671</v>
      </c>
      <c r="D34" s="26">
        <v>0</v>
      </c>
      <c r="E34" s="27"/>
      <c r="G34" s="46">
        <f t="shared" si="11"/>
        <v>0.8500000000000002</v>
      </c>
      <c r="H34" s="15">
        <f t="shared" si="1"/>
        <v>87.85000000000001</v>
      </c>
      <c r="I34" s="26">
        <f t="shared" si="6"/>
        <v>2.4102742633213197</v>
      </c>
      <c r="J34" s="26">
        <f>((((C34+C35+C36)/3)^2-((I34+I35+I36)/3)^2)/($F$44-((C34+C35+C36)/3)^2))*46</f>
        <v>1.0547865153553824</v>
      </c>
      <c r="K34" s="27">
        <f t="shared" si="19"/>
        <v>-1.6893640296401502</v>
      </c>
      <c r="M34" s="46">
        <f t="shared" si="12"/>
        <v>0.8500000000000002</v>
      </c>
      <c r="N34" s="15">
        <f t="shared" si="2"/>
        <v>88.75</v>
      </c>
      <c r="O34" s="26">
        <f t="shared" si="7"/>
        <v>2.398492617944968</v>
      </c>
      <c r="P34" s="26">
        <f>((((C34+C35+C36)/3)^2-((O34+O35+O36)/3)^2)/($F$44-((C34+C35+C36)/3)^2))*46</f>
        <v>2.1043747866871865</v>
      </c>
      <c r="Q34" s="27">
        <f t="shared" si="20"/>
        <v>-0.5120861155165302</v>
      </c>
      <c r="S34" s="46">
        <f t="shared" si="13"/>
        <v>0.8500000000000002</v>
      </c>
      <c r="T34" s="15">
        <f t="shared" si="3"/>
        <v>89.65</v>
      </c>
      <c r="U34" s="26">
        <f t="shared" si="8"/>
        <v>2.386710972568616</v>
      </c>
      <c r="V34" s="26">
        <f>((((I34+I35+I36)/3)^2-((U34+U35+U36)/3)^2)/($F$44-((I34+I35+I36)/3)^2))*46</f>
        <v>2.0470393953654886</v>
      </c>
      <c r="W34" s="27">
        <f t="shared" si="21"/>
        <v>0.6049008730439009</v>
      </c>
      <c r="Y34" s="46">
        <f t="shared" si="14"/>
        <v>0.8500000000000002</v>
      </c>
      <c r="Z34" s="15">
        <f t="shared" si="4"/>
        <v>90.55000000000001</v>
      </c>
      <c r="AA34" s="26">
        <f t="shared" si="9"/>
        <v>2.3749293271922647</v>
      </c>
      <c r="AB34" s="26">
        <f>((((O34+O35+O36)/3)^2-((AA34+AA35+AA36)/3)^2)/($F$44-((O34+O35+O36)/3)^2))*46</f>
        <v>1.9924334057409523</v>
      </c>
      <c r="AC34" s="27">
        <f t="shared" si="22"/>
        <v>0.1597724930978206</v>
      </c>
    </row>
    <row r="35" spans="1:29" ht="12.75">
      <c r="A35" s="46">
        <f t="shared" si="10"/>
        <v>0.9000000000000002</v>
      </c>
      <c r="B35" s="15">
        <f t="shared" si="0"/>
        <v>88.9</v>
      </c>
      <c r="C35" s="26">
        <f t="shared" si="5"/>
        <v>2.3965290103822428</v>
      </c>
      <c r="D35" s="26">
        <v>0</v>
      </c>
      <c r="E35" s="27"/>
      <c r="G35" s="46">
        <f t="shared" si="11"/>
        <v>0.9000000000000002</v>
      </c>
      <c r="H35" s="15">
        <f t="shared" si="1"/>
        <v>89.80000000000001</v>
      </c>
      <c r="I35" s="26">
        <f t="shared" si="6"/>
        <v>2.3847473650058912</v>
      </c>
      <c r="J35" s="26">
        <f>((((C35+C36+C37)/3)^2-((I35+I36+I37)/3)^2)/($F$44-((C35+C36+C37)/3)^2))*41</f>
        <v>0.8861957856012281</v>
      </c>
      <c r="K35" s="27">
        <f t="shared" si="19"/>
        <v>-2.10473101238583</v>
      </c>
      <c r="M35" s="46">
        <f t="shared" si="12"/>
        <v>0.9000000000000002</v>
      </c>
      <c r="N35" s="15">
        <f t="shared" si="2"/>
        <v>90.70000000000002</v>
      </c>
      <c r="O35" s="26">
        <f t="shared" si="7"/>
        <v>2.3729657196295393</v>
      </c>
      <c r="P35" s="26">
        <f>((((C35+C36+C37)/3)^2-((O35+O36+O37)/3)^2)/($F$44-((C35+C36+C37)/3)^2))*41</f>
        <v>1.7679770455406567</v>
      </c>
      <c r="Q35" s="27">
        <f t="shared" si="20"/>
        <v>-1.0850357862377202</v>
      </c>
      <c r="S35" s="46">
        <f t="shared" si="13"/>
        <v>0.9000000000000002</v>
      </c>
      <c r="T35" s="15">
        <f t="shared" si="3"/>
        <v>91.60000000000001</v>
      </c>
      <c r="U35" s="26">
        <f t="shared" si="8"/>
        <v>2.3611840742531878</v>
      </c>
      <c r="V35" s="26">
        <f>((((I35+I36+I37)/3)^2-((U35+U36+U37)/3)^2)/($F$44-((I35+I36+I37)/3)^2))*41</f>
        <v>1.721929299382547</v>
      </c>
      <c r="W35" s="27">
        <f t="shared" si="21"/>
        <v>-0.1186355257542071</v>
      </c>
      <c r="Y35" s="46">
        <f t="shared" si="14"/>
        <v>0.9000000000000002</v>
      </c>
      <c r="Z35" s="15">
        <f t="shared" si="4"/>
        <v>92.5</v>
      </c>
      <c r="AA35" s="26">
        <f t="shared" si="9"/>
        <v>2.3494024288768363</v>
      </c>
      <c r="AB35" s="26">
        <f>((((O35+O36+O37)/3)^2-((AA35+AA36+AA37)/3)^2)/($F$44-((O35+O36+O37)/3)^2))*41</f>
        <v>1.6779628501534551</v>
      </c>
      <c r="AC35" s="27">
        <f t="shared" si="22"/>
        <v>-0.7864692817207364</v>
      </c>
    </row>
    <row r="36" spans="1:29" ht="12.75">
      <c r="A36" s="46">
        <f t="shared" si="10"/>
        <v>0.9500000000000003</v>
      </c>
      <c r="B36" s="15">
        <f t="shared" si="0"/>
        <v>90.85000000000001</v>
      </c>
      <c r="C36" s="26">
        <f t="shared" si="5"/>
        <v>2.3710021120668143</v>
      </c>
      <c r="D36" s="26">
        <v>0</v>
      </c>
      <c r="E36" s="27"/>
      <c r="G36" s="46">
        <f t="shared" si="11"/>
        <v>0.9500000000000003</v>
      </c>
      <c r="H36" s="15">
        <f t="shared" si="1"/>
        <v>91.75000000000001</v>
      </c>
      <c r="I36" s="26">
        <f t="shared" si="6"/>
        <v>2.359220466690463</v>
      </c>
      <c r="J36" s="26">
        <f>((((C36+C37+C37)/3)^2-((I36+I37+I37)/3)^2)/($F$44-((C36+C37+C37)/3)^2))*38</f>
        <v>0.7907806074284554</v>
      </c>
      <c r="K36" s="27">
        <f t="shared" si="19"/>
        <v>-2.4828548410961937</v>
      </c>
      <c r="M36" s="46">
        <f t="shared" si="12"/>
        <v>0.9500000000000003</v>
      </c>
      <c r="N36" s="15">
        <f t="shared" si="2"/>
        <v>92.65</v>
      </c>
      <c r="O36" s="26">
        <f t="shared" si="7"/>
        <v>2.3474388213141113</v>
      </c>
      <c r="P36" s="26">
        <f>((((C36+C37+C37)/3)^2-((O36+O37+O37)/3)^2)/($F$44-((C36+C37+C37)/3)^2))*38</f>
        <v>1.577593443874233</v>
      </c>
      <c r="Q36" s="27">
        <f t="shared" si="20"/>
        <v>-1.5984154978512688</v>
      </c>
      <c r="S36" s="46">
        <f t="shared" si="13"/>
        <v>0.9500000000000003</v>
      </c>
      <c r="T36" s="15">
        <f t="shared" si="3"/>
        <v>93.55000000000001</v>
      </c>
      <c r="U36" s="26">
        <f t="shared" si="8"/>
        <v>2.3356571759377593</v>
      </c>
      <c r="V36" s="26">
        <f>((((I36+I37+I37)/3)^2-((U36+U37+U37)/3)^2)/($F$44-((I36+I37+I37)/3)^2))*38</f>
        <v>1.5376591895939942</v>
      </c>
      <c r="W36" s="27">
        <f t="shared" si="21"/>
        <v>-0.760820468731338</v>
      </c>
      <c r="Y36" s="46">
        <f t="shared" si="14"/>
        <v>0.9500000000000003</v>
      </c>
      <c r="Z36" s="15">
        <f t="shared" si="4"/>
        <v>94.45000000000002</v>
      </c>
      <c r="AA36" s="26">
        <f t="shared" si="9"/>
        <v>2.323875530561408</v>
      </c>
      <c r="AB36" s="26">
        <f>((((O36+O37+O37)/3)^2-((AA36+AA37+AA37)/3)^2)/($F$44-((O36+O37+O37)/3)^2))*38</f>
        <v>1.4994709004227935</v>
      </c>
      <c r="AC36" s="27">
        <f t="shared" si="22"/>
        <v>-1.62306951162976</v>
      </c>
    </row>
    <row r="37" spans="1:29" ht="13.5" thickBot="1">
      <c r="A37" s="46">
        <f t="shared" si="10"/>
        <v>1.0000000000000002</v>
      </c>
      <c r="B37" s="15">
        <f t="shared" si="0"/>
        <v>92.80000000000001</v>
      </c>
      <c r="C37" s="26">
        <f t="shared" si="5"/>
        <v>2.345475213751386</v>
      </c>
      <c r="D37" s="26">
        <v>0</v>
      </c>
      <c r="E37" s="27"/>
      <c r="G37" s="46">
        <f t="shared" si="11"/>
        <v>1.0000000000000002</v>
      </c>
      <c r="H37" s="15">
        <f t="shared" si="1"/>
        <v>93.70000000000002</v>
      </c>
      <c r="I37" s="26">
        <f t="shared" si="6"/>
        <v>2.333693568375034</v>
      </c>
      <c r="J37" s="26">
        <f>((C37^2-I37^2)/($F$44-C37^2))*36</f>
        <v>0.7353856364972328</v>
      </c>
      <c r="K37" s="27">
        <f t="shared" si="19"/>
        <v>-2.8255244775513777</v>
      </c>
      <c r="M37" s="46">
        <f t="shared" si="12"/>
        <v>1.0000000000000002</v>
      </c>
      <c r="N37" s="15">
        <f t="shared" si="2"/>
        <v>94.60000000000001</v>
      </c>
      <c r="O37" s="26">
        <f t="shared" si="7"/>
        <v>2.321911922998683</v>
      </c>
      <c r="P37" s="26">
        <f>((C37^2-O37^2)/($F$44-C37^2))*36</f>
        <v>1.4670680285988877</v>
      </c>
      <c r="Q37" s="27">
        <f>100*(((($B$7/100)^(-$F$49)+($F$47-(($C37+$C38+$C39+$C40)/4)^2)^(-$F$48))/((N$7/100)^(-$F$49)+($F$47-((O37+O38+O39+O40)/4)^2)^(-$F$48)))^$F$50-1)+N$11+P$11</f>
        <v>-2.0570743727099883</v>
      </c>
      <c r="S37" s="46">
        <f t="shared" si="13"/>
        <v>1.0000000000000002</v>
      </c>
      <c r="T37" s="15">
        <f t="shared" si="3"/>
        <v>95.5</v>
      </c>
      <c r="U37" s="26">
        <f t="shared" si="8"/>
        <v>2.3101302776223314</v>
      </c>
      <c r="V37" s="26">
        <f>((I37^2-U37^2)/($F$44-I37^2))*36</f>
        <v>1.4304413720615292</v>
      </c>
      <c r="W37" s="27">
        <f>100*(((($B$7/100)^(-$F$49)+($F$47-(($C37+$C38+$C39+$C40)/4)^2)^(-$F$48))/((T$7/100)^(-$F$49)+($F$47-((U37+U38+U39+U40)/4)^2)^(-$F$48)))^$F$50-1)+T$11+V$11</f>
        <v>-1.329625572282045</v>
      </c>
      <c r="Y37" s="46">
        <f t="shared" si="14"/>
        <v>1.0000000000000002</v>
      </c>
      <c r="Z37" s="15">
        <f t="shared" si="4"/>
        <v>96.4</v>
      </c>
      <c r="AA37" s="26">
        <f t="shared" si="9"/>
        <v>2.2983486322459794</v>
      </c>
      <c r="AB37" s="26">
        <f>((O37^2-AA37^2)/($F$44-O37^2))*36</f>
        <v>1.3953902610339672</v>
      </c>
      <c r="AC37" s="27">
        <f>100*(((($B$7/100)^(-$F$49)+($F$47-(($C37+$C38+$C39+$C40)/4)^2)^(-$F$48))/((Z$7/100)^(-$F$49)+($F$47-((AA37+AA38+AA39+AA40)/4)^2)^(-$F$48)))^$F$50-1)+Z$11+AB$11</f>
        <v>-2.3615320363609915</v>
      </c>
    </row>
    <row r="38" spans="1:29" ht="12.75">
      <c r="A38" s="113">
        <f t="shared" si="10"/>
        <v>1.0500000000000003</v>
      </c>
      <c r="B38" s="110">
        <f t="shared" si="0"/>
        <v>94.75</v>
      </c>
      <c r="C38" s="114">
        <f t="shared" si="5"/>
        <v>2.3199483154359575</v>
      </c>
      <c r="D38" s="115"/>
      <c r="E38" s="116"/>
      <c r="F38" s="16"/>
      <c r="G38" s="113">
        <f t="shared" si="11"/>
        <v>1.0500000000000003</v>
      </c>
      <c r="H38" s="110">
        <f t="shared" si="1"/>
        <v>95.65</v>
      </c>
      <c r="I38" s="114">
        <f t="shared" si="6"/>
        <v>2.308166670059606</v>
      </c>
      <c r="J38" s="115"/>
      <c r="K38" s="116"/>
      <c r="L38" s="16"/>
      <c r="M38" s="113">
        <f t="shared" si="12"/>
        <v>1.0500000000000003</v>
      </c>
      <c r="N38" s="110">
        <f t="shared" si="2"/>
        <v>96.55000000000001</v>
      </c>
      <c r="O38" s="114">
        <f t="shared" si="7"/>
        <v>2.296385024683254</v>
      </c>
      <c r="P38" s="115"/>
      <c r="Q38" s="116"/>
      <c r="R38" s="16"/>
      <c r="S38" s="113">
        <f t="shared" si="13"/>
        <v>1.0500000000000003</v>
      </c>
      <c r="T38" s="110">
        <f t="shared" si="3"/>
        <v>97.45000000000002</v>
      </c>
      <c r="U38" s="114">
        <f t="shared" si="8"/>
        <v>2.2846033793069025</v>
      </c>
      <c r="V38" s="115"/>
      <c r="W38" s="116"/>
      <c r="X38" s="16"/>
      <c r="Y38" s="113">
        <f t="shared" si="14"/>
        <v>1.0500000000000003</v>
      </c>
      <c r="Z38" s="110">
        <f t="shared" si="4"/>
        <v>98.35000000000001</v>
      </c>
      <c r="AA38" s="114">
        <f t="shared" si="9"/>
        <v>2.272821733930551</v>
      </c>
      <c r="AB38" s="115"/>
      <c r="AC38" s="116"/>
    </row>
    <row r="39" spans="1:29" ht="12.75">
      <c r="A39" s="46">
        <f t="shared" si="10"/>
        <v>1.1000000000000003</v>
      </c>
      <c r="B39" s="15">
        <f t="shared" si="0"/>
        <v>96.70000000000002</v>
      </c>
      <c r="C39" s="26">
        <f t="shared" si="5"/>
        <v>2.294421417120529</v>
      </c>
      <c r="D39" s="16"/>
      <c r="E39" s="17"/>
      <c r="F39" s="16"/>
      <c r="G39" s="46">
        <f t="shared" si="11"/>
        <v>1.1000000000000003</v>
      </c>
      <c r="H39" s="15">
        <f t="shared" si="1"/>
        <v>97.60000000000002</v>
      </c>
      <c r="I39" s="26">
        <f t="shared" si="6"/>
        <v>2.282639771744177</v>
      </c>
      <c r="J39" s="16"/>
      <c r="K39" s="17"/>
      <c r="L39" s="16"/>
      <c r="M39" s="46">
        <f t="shared" si="12"/>
        <v>1.1000000000000003</v>
      </c>
      <c r="N39" s="15">
        <f t="shared" si="2"/>
        <v>98.50000000000001</v>
      </c>
      <c r="O39" s="26">
        <f t="shared" si="7"/>
        <v>2.2708581263678256</v>
      </c>
      <c r="P39" s="16"/>
      <c r="Q39" s="17"/>
      <c r="R39" s="16"/>
      <c r="S39" s="46">
        <f t="shared" si="13"/>
        <v>1.1000000000000003</v>
      </c>
      <c r="T39" s="15">
        <f t="shared" si="3"/>
        <v>99.4</v>
      </c>
      <c r="U39" s="26">
        <f t="shared" si="8"/>
        <v>2.2590764809914745</v>
      </c>
      <c r="V39" s="16"/>
      <c r="W39" s="17"/>
      <c r="X39" s="16"/>
      <c r="Y39" s="46">
        <f t="shared" si="14"/>
        <v>1.1000000000000003</v>
      </c>
      <c r="Z39" s="15">
        <f t="shared" si="4"/>
        <v>100.30000000000001</v>
      </c>
      <c r="AA39" s="26">
        <f t="shared" si="9"/>
        <v>2.2472948356151226</v>
      </c>
      <c r="AB39" s="16"/>
      <c r="AC39" s="17"/>
    </row>
    <row r="40" spans="1:29" ht="13.5" thickBot="1">
      <c r="A40" s="47">
        <f t="shared" si="10"/>
        <v>1.1500000000000004</v>
      </c>
      <c r="B40" s="28">
        <f t="shared" si="0"/>
        <v>98.65</v>
      </c>
      <c r="C40" s="29">
        <f t="shared" si="5"/>
        <v>2.2688945188051006</v>
      </c>
      <c r="D40" s="111"/>
      <c r="E40" s="112"/>
      <c r="F40" s="16"/>
      <c r="G40" s="47">
        <f t="shared" si="11"/>
        <v>1.1500000000000004</v>
      </c>
      <c r="H40" s="28">
        <f t="shared" si="1"/>
        <v>99.55000000000001</v>
      </c>
      <c r="I40" s="29">
        <f t="shared" si="6"/>
        <v>2.257112873428749</v>
      </c>
      <c r="J40" s="111"/>
      <c r="K40" s="112"/>
      <c r="L40" s="16"/>
      <c r="M40" s="47">
        <f t="shared" si="12"/>
        <v>1.1500000000000004</v>
      </c>
      <c r="N40" s="28">
        <f t="shared" si="2"/>
        <v>100.45000000000002</v>
      </c>
      <c r="O40" s="29">
        <f t="shared" si="7"/>
        <v>2.245331228052397</v>
      </c>
      <c r="P40" s="111"/>
      <c r="Q40" s="112"/>
      <c r="R40" s="16"/>
      <c r="S40" s="47">
        <f t="shared" si="13"/>
        <v>1.1500000000000004</v>
      </c>
      <c r="T40" s="28">
        <f t="shared" si="3"/>
        <v>101.35000000000002</v>
      </c>
      <c r="U40" s="29">
        <f t="shared" si="8"/>
        <v>2.2335495826760456</v>
      </c>
      <c r="V40" s="111"/>
      <c r="W40" s="112"/>
      <c r="X40" s="16"/>
      <c r="Y40" s="47">
        <f t="shared" si="14"/>
        <v>1.1500000000000004</v>
      </c>
      <c r="Z40" s="28">
        <f t="shared" si="4"/>
        <v>102.25000000000001</v>
      </c>
      <c r="AA40" s="29">
        <f t="shared" si="9"/>
        <v>2.221767937299694</v>
      </c>
      <c r="AB40" s="111"/>
      <c r="AC40" s="112"/>
    </row>
    <row r="41" spans="1:8" ht="12.75">
      <c r="A41" s="2" t="s">
        <v>12</v>
      </c>
      <c r="B41" s="5" t="s">
        <v>17</v>
      </c>
      <c r="F41" s="3">
        <v>0.9</v>
      </c>
      <c r="G41" s="2" t="s">
        <v>5</v>
      </c>
      <c r="H41" t="s">
        <v>45</v>
      </c>
    </row>
    <row r="42" spans="1:11" ht="12.75">
      <c r="A42" s="2" t="s">
        <v>14</v>
      </c>
      <c r="B42" s="6" t="s">
        <v>13</v>
      </c>
      <c r="F42" s="3">
        <v>39</v>
      </c>
      <c r="G42" s="2" t="s">
        <v>5</v>
      </c>
      <c r="H42" t="s">
        <v>99</v>
      </c>
      <c r="K42">
        <v>39</v>
      </c>
    </row>
    <row r="43" spans="1:11" ht="12.75">
      <c r="A43" s="2" t="s">
        <v>15</v>
      </c>
      <c r="B43" s="6" t="s">
        <v>46</v>
      </c>
      <c r="F43" s="3">
        <v>52</v>
      </c>
      <c r="G43" s="2" t="s">
        <v>5</v>
      </c>
      <c r="H43" t="s">
        <v>140</v>
      </c>
      <c r="K43">
        <v>52</v>
      </c>
    </row>
    <row r="44" spans="1:8" ht="12.75">
      <c r="A44" s="2" t="s">
        <v>136</v>
      </c>
      <c r="B44" t="s">
        <v>141</v>
      </c>
      <c r="F44" s="3">
        <v>8.2</v>
      </c>
      <c r="G44" s="2" t="s">
        <v>138</v>
      </c>
      <c r="H44" t="s">
        <v>139</v>
      </c>
    </row>
    <row r="45" ht="12.75">
      <c r="F45" s="3" t="s">
        <v>116</v>
      </c>
    </row>
    <row r="46" ht="12.75">
      <c r="F46" t="s">
        <v>116</v>
      </c>
    </row>
    <row r="47" spans="1:9" ht="12.75">
      <c r="A47" s="2" t="s">
        <v>148</v>
      </c>
      <c r="F47" s="3">
        <v>8.3</v>
      </c>
      <c r="H47" s="3"/>
      <c r="I47" s="3">
        <v>8.3</v>
      </c>
    </row>
    <row r="48" spans="1:10" ht="12.75">
      <c r="A48" s="2" t="s">
        <v>149</v>
      </c>
      <c r="F48">
        <v>3.6</v>
      </c>
      <c r="H48">
        <v>4.8</v>
      </c>
      <c r="I48">
        <v>3.6</v>
      </c>
      <c r="J48">
        <v>2.4</v>
      </c>
    </row>
    <row r="49" spans="1:10" ht="12.75">
      <c r="A49" s="2" t="s">
        <v>150</v>
      </c>
      <c r="F49">
        <v>6.6</v>
      </c>
      <c r="H49">
        <v>8.8</v>
      </c>
      <c r="I49">
        <v>6.6</v>
      </c>
      <c r="J49">
        <v>4.4</v>
      </c>
    </row>
    <row r="50" spans="1:10" ht="12.75">
      <c r="A50" s="2" t="s">
        <v>151</v>
      </c>
      <c r="F50">
        <v>0.333</v>
      </c>
      <c r="H50">
        <v>0.25</v>
      </c>
      <c r="I50">
        <v>0.333</v>
      </c>
      <c r="J50">
        <v>0.5</v>
      </c>
    </row>
    <row r="51" spans="1:6" ht="12.75">
      <c r="A51" s="2" t="s">
        <v>155</v>
      </c>
      <c r="B51" t="s">
        <v>158</v>
      </c>
      <c r="F51">
        <v>1000</v>
      </c>
    </row>
    <row r="52" spans="1:6" ht="12.75">
      <c r="A52" s="2" t="s">
        <v>153</v>
      </c>
      <c r="B52" t="s">
        <v>159</v>
      </c>
      <c r="F52">
        <v>8</v>
      </c>
    </row>
  </sheetData>
  <sheetProtection password="87AF" sheet="1" objects="1" scenarios="1"/>
  <mergeCells count="5">
    <mergeCell ref="Y2:AC2"/>
    <mergeCell ref="A2:E2"/>
    <mergeCell ref="G2:K2"/>
    <mergeCell ref="M2:Q2"/>
    <mergeCell ref="S2:W2"/>
  </mergeCells>
  <printOptions/>
  <pageMargins left="0.75" right="0.75" top="1" bottom="1" header="0.5" footer="0.5"/>
  <pageSetup fitToHeight="1" fitToWidth="1" horizontalDpi="180" verticalDpi="180" orientation="landscape" scale="71" r:id="rId1"/>
  <headerFooter alignWithMargins="0">
    <oddFooter>&amp;C&amp;F&amp;R&amp;D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10"/>
  <sheetViews>
    <sheetView zoomScale="75" zoomScaleNormal="75" workbookViewId="0" topLeftCell="A1">
      <selection activeCell="K46" sqref="K46"/>
    </sheetView>
  </sheetViews>
  <sheetFormatPr defaultColWidth="11.421875" defaultRowHeight="12.75"/>
  <cols>
    <col min="1" max="1" width="18.140625" style="1" customWidth="1"/>
    <col min="2" max="3" width="5.7109375" style="0" customWidth="1"/>
    <col min="4" max="10" width="8.7109375" style="0" customWidth="1"/>
    <col min="11" max="16384" width="9.140625" style="0" customWidth="1"/>
  </cols>
  <sheetData>
    <row r="1" spans="1:11" ht="12.75">
      <c r="A1" s="43" t="s">
        <v>87</v>
      </c>
      <c r="B1" s="158" t="s">
        <v>20</v>
      </c>
      <c r="C1" s="158"/>
      <c r="D1" s="50" t="s">
        <v>20</v>
      </c>
      <c r="E1" s="43" t="s">
        <v>2</v>
      </c>
      <c r="F1" s="43" t="s">
        <v>42</v>
      </c>
      <c r="G1" s="16"/>
      <c r="H1" s="16"/>
      <c r="I1" s="16"/>
      <c r="J1" s="16"/>
      <c r="K1" s="16"/>
    </row>
    <row r="2" spans="1:11" s="1" customFormat="1" ht="12.75">
      <c r="A2" s="53"/>
      <c r="B2" s="43" t="s">
        <v>1</v>
      </c>
      <c r="C2" s="43" t="s">
        <v>80</v>
      </c>
      <c r="D2" s="43" t="s">
        <v>1</v>
      </c>
      <c r="E2" s="43" t="s">
        <v>5</v>
      </c>
      <c r="F2" s="43" t="s">
        <v>5</v>
      </c>
      <c r="G2" s="7"/>
      <c r="H2" s="7"/>
      <c r="I2" s="7"/>
      <c r="J2" s="7"/>
      <c r="K2" s="7"/>
    </row>
    <row r="3" spans="1:11" s="1" customFormat="1" ht="12.75">
      <c r="A3" s="43" t="s">
        <v>85</v>
      </c>
      <c r="B3" s="9"/>
      <c r="C3" s="9"/>
      <c r="D3" s="9"/>
      <c r="E3" s="9"/>
      <c r="F3" s="9"/>
      <c r="G3" s="7"/>
      <c r="H3" s="7"/>
      <c r="I3" s="7"/>
      <c r="J3" s="7"/>
      <c r="K3" s="7"/>
    </row>
    <row r="4" spans="1:11" ht="12.75">
      <c r="A4" s="7" t="s">
        <v>0</v>
      </c>
      <c r="B4" s="7">
        <v>1</v>
      </c>
      <c r="C4" s="40">
        <v>0</v>
      </c>
      <c r="D4" s="41">
        <f>B4+C4/60</f>
        <v>1</v>
      </c>
      <c r="E4" s="15">
        <v>34.55</v>
      </c>
      <c r="F4" s="7">
        <v>2.605</v>
      </c>
      <c r="G4" s="16"/>
      <c r="H4" s="16"/>
      <c r="I4" s="16"/>
      <c r="J4" s="16"/>
      <c r="K4" s="16"/>
    </row>
    <row r="5" spans="1:11" ht="12.75">
      <c r="A5" s="7" t="s">
        <v>21</v>
      </c>
      <c r="B5" s="7">
        <v>1</v>
      </c>
      <c r="C5" s="7">
        <v>15</v>
      </c>
      <c r="D5" s="41">
        <f aca="true" t="shared" si="0" ref="D5:D11">B5+C5/60</f>
        <v>1.25</v>
      </c>
      <c r="E5" s="15">
        <v>35</v>
      </c>
      <c r="F5" s="7">
        <f>F4+0.01</f>
        <v>2.6149999999999998</v>
      </c>
      <c r="G5" s="16"/>
      <c r="H5" s="16"/>
      <c r="I5" s="16"/>
      <c r="J5" s="16"/>
      <c r="K5" s="16"/>
    </row>
    <row r="6" spans="1:11" ht="12.75">
      <c r="A6" s="7" t="s">
        <v>22</v>
      </c>
      <c r="B6" s="7">
        <v>1</v>
      </c>
      <c r="C6" s="7">
        <v>34</v>
      </c>
      <c r="D6" s="41">
        <f t="shared" si="0"/>
        <v>1.5666666666666667</v>
      </c>
      <c r="E6" s="15">
        <v>36.35</v>
      </c>
      <c r="F6" s="7">
        <f aca="true" t="shared" si="1" ref="F6:F28">F5+0.01</f>
        <v>2.6249999999999996</v>
      </c>
      <c r="G6" s="16"/>
      <c r="H6" s="16"/>
      <c r="I6" s="16"/>
      <c r="J6" s="16"/>
      <c r="K6" s="16"/>
    </row>
    <row r="7" spans="1:11" ht="12.75">
      <c r="A7" s="7" t="s">
        <v>3</v>
      </c>
      <c r="B7" s="7">
        <v>1</v>
      </c>
      <c r="C7" s="7">
        <v>45</v>
      </c>
      <c r="D7" s="41">
        <f t="shared" si="0"/>
        <v>1.75</v>
      </c>
      <c r="E7" s="15">
        <v>36.8</v>
      </c>
      <c r="F7" s="7">
        <f t="shared" si="1"/>
        <v>2.6349999999999993</v>
      </c>
      <c r="G7" s="16"/>
      <c r="H7" s="16"/>
      <c r="I7" s="16"/>
      <c r="J7" s="16"/>
      <c r="K7" s="16"/>
    </row>
    <row r="8" spans="1:11" ht="12.75">
      <c r="A8" s="7" t="s">
        <v>8</v>
      </c>
      <c r="B8" s="7">
        <v>2</v>
      </c>
      <c r="C8" s="7">
        <v>0</v>
      </c>
      <c r="D8" s="41">
        <f t="shared" si="0"/>
        <v>2</v>
      </c>
      <c r="E8" s="15">
        <v>38.15</v>
      </c>
      <c r="F8" s="7">
        <f t="shared" si="1"/>
        <v>2.644999999999999</v>
      </c>
      <c r="G8" s="16"/>
      <c r="H8" s="16"/>
      <c r="I8" s="16"/>
      <c r="J8" s="16"/>
      <c r="K8" s="16"/>
    </row>
    <row r="9" spans="1:11" ht="12.75">
      <c r="A9" s="7" t="s">
        <v>23</v>
      </c>
      <c r="B9" s="7">
        <v>2</v>
      </c>
      <c r="C9" s="7">
        <v>15</v>
      </c>
      <c r="D9" s="41">
        <f t="shared" si="0"/>
        <v>2.25</v>
      </c>
      <c r="E9" s="15">
        <v>38.6</v>
      </c>
      <c r="F9" s="7">
        <f t="shared" si="1"/>
        <v>2.654999999999999</v>
      </c>
      <c r="G9" s="16"/>
      <c r="H9" s="16"/>
      <c r="I9" s="16"/>
      <c r="J9" s="16"/>
      <c r="K9" s="16"/>
    </row>
    <row r="10" spans="1:11" ht="12.75">
      <c r="A10" s="7" t="s">
        <v>24</v>
      </c>
      <c r="B10" s="7">
        <v>2</v>
      </c>
      <c r="C10" s="7">
        <v>26</v>
      </c>
      <c r="D10" s="41">
        <f t="shared" si="0"/>
        <v>2.4333333333333336</v>
      </c>
      <c r="E10" s="15">
        <v>39.95</v>
      </c>
      <c r="F10" s="7">
        <f t="shared" si="1"/>
        <v>2.6649999999999987</v>
      </c>
      <c r="G10" s="16"/>
      <c r="H10" s="16"/>
      <c r="I10" s="16"/>
      <c r="J10" s="16"/>
      <c r="K10" s="16"/>
    </row>
    <row r="11" spans="1:11" ht="12.75">
      <c r="A11" s="7" t="s">
        <v>25</v>
      </c>
      <c r="B11" s="7">
        <v>2</v>
      </c>
      <c r="C11" s="7">
        <v>45</v>
      </c>
      <c r="D11" s="41">
        <f t="shared" si="0"/>
        <v>2.75</v>
      </c>
      <c r="E11" s="15">
        <v>40.4</v>
      </c>
      <c r="F11" s="7">
        <f t="shared" si="1"/>
        <v>2.6749999999999985</v>
      </c>
      <c r="G11" s="16"/>
      <c r="H11" s="16"/>
      <c r="I11" s="16"/>
      <c r="J11" s="16"/>
      <c r="K11" s="16"/>
    </row>
    <row r="12" spans="1:11" ht="12.75">
      <c r="A12" s="7" t="s">
        <v>26</v>
      </c>
      <c r="B12" s="7" t="s">
        <v>44</v>
      </c>
      <c r="C12" s="7" t="s">
        <v>44</v>
      </c>
      <c r="D12" s="41" t="s">
        <v>44</v>
      </c>
      <c r="E12" s="15" t="s">
        <v>44</v>
      </c>
      <c r="F12" s="7" t="s">
        <v>44</v>
      </c>
      <c r="G12" s="16"/>
      <c r="H12" s="16"/>
      <c r="I12" s="16"/>
      <c r="J12" s="16"/>
      <c r="K12" s="16"/>
    </row>
    <row r="13" spans="1:11" ht="12.75">
      <c r="A13" s="7" t="s">
        <v>27</v>
      </c>
      <c r="B13" s="7">
        <v>3</v>
      </c>
      <c r="C13" s="7">
        <v>0</v>
      </c>
      <c r="D13" s="41">
        <f>B13+C13/60</f>
        <v>3</v>
      </c>
      <c r="E13" s="15">
        <v>41.75</v>
      </c>
      <c r="F13" s="7">
        <f>F11+0.01</f>
        <v>2.6849999999999983</v>
      </c>
      <c r="G13" s="16"/>
      <c r="H13" s="16"/>
      <c r="I13" s="16"/>
      <c r="J13" s="16"/>
      <c r="K13" s="16"/>
    </row>
    <row r="14" spans="1:11" ht="12.75">
      <c r="A14" s="7" t="s">
        <v>28</v>
      </c>
      <c r="B14" s="7">
        <v>3</v>
      </c>
      <c r="C14" s="7">
        <v>15</v>
      </c>
      <c r="D14" s="41">
        <f>B14+C14/60</f>
        <v>3.25</v>
      </c>
      <c r="E14" s="15">
        <v>42.2</v>
      </c>
      <c r="F14" s="7">
        <f t="shared" si="1"/>
        <v>2.694999999999998</v>
      </c>
      <c r="G14" s="16"/>
      <c r="H14" s="16"/>
      <c r="I14" s="16"/>
      <c r="J14" s="16"/>
      <c r="K14" s="16"/>
    </row>
    <row r="15" spans="1:11" ht="12.75">
      <c r="A15" s="7" t="s">
        <v>11</v>
      </c>
      <c r="B15" s="7">
        <v>3</v>
      </c>
      <c r="C15" s="7">
        <v>33</v>
      </c>
      <c r="D15" s="41">
        <f>B15+C15/60</f>
        <v>3.55</v>
      </c>
      <c r="E15" s="15">
        <v>43.55</v>
      </c>
      <c r="F15" s="7">
        <f t="shared" si="1"/>
        <v>2.704999999999998</v>
      </c>
      <c r="G15" s="16"/>
      <c r="H15" s="16"/>
      <c r="I15" s="16"/>
      <c r="J15" s="16"/>
      <c r="K15" s="16"/>
    </row>
    <row r="16" spans="1:11" ht="12.75">
      <c r="A16" s="7" t="s">
        <v>47</v>
      </c>
      <c r="B16" s="7">
        <v>3</v>
      </c>
      <c r="C16" s="7">
        <v>50</v>
      </c>
      <c r="D16" s="41">
        <f>B16+C16/60</f>
        <v>3.8333333333333335</v>
      </c>
      <c r="E16" s="15">
        <v>44</v>
      </c>
      <c r="F16" s="7">
        <f t="shared" si="1"/>
        <v>2.7149999999999976</v>
      </c>
      <c r="G16" s="16"/>
      <c r="H16" s="16"/>
      <c r="I16" s="16"/>
      <c r="J16" s="16"/>
      <c r="K16" s="16"/>
    </row>
    <row r="17" spans="1:11" ht="12.75">
      <c r="A17" s="7" t="s">
        <v>29</v>
      </c>
      <c r="B17" s="7">
        <v>4</v>
      </c>
      <c r="C17" s="7">
        <v>0</v>
      </c>
      <c r="D17" s="41">
        <f>B17+C17/60</f>
        <v>4</v>
      </c>
      <c r="E17" s="15">
        <v>45.35</v>
      </c>
      <c r="F17" s="7">
        <f t="shared" si="1"/>
        <v>2.7249999999999974</v>
      </c>
      <c r="G17" s="16"/>
      <c r="H17" s="16"/>
      <c r="I17" s="16"/>
      <c r="J17" s="16"/>
      <c r="K17" s="16"/>
    </row>
    <row r="18" spans="1:11" ht="12.75">
      <c r="A18" s="7" t="s">
        <v>30</v>
      </c>
      <c r="B18" s="41" t="s">
        <v>44</v>
      </c>
      <c r="C18" s="41" t="s">
        <v>44</v>
      </c>
      <c r="D18" s="41" t="s">
        <v>44</v>
      </c>
      <c r="E18" s="15" t="s">
        <v>44</v>
      </c>
      <c r="F18" s="7" t="s">
        <v>44</v>
      </c>
      <c r="G18" s="16"/>
      <c r="H18" s="16"/>
      <c r="I18" s="16"/>
      <c r="J18" s="16"/>
      <c r="K18" s="16"/>
    </row>
    <row r="19" spans="1:11" ht="12.75">
      <c r="A19" s="7" t="s">
        <v>31</v>
      </c>
      <c r="B19" s="33" t="s">
        <v>44</v>
      </c>
      <c r="C19" s="33" t="s">
        <v>44</v>
      </c>
      <c r="D19" s="33" t="s">
        <v>44</v>
      </c>
      <c r="E19" s="7" t="s">
        <v>44</v>
      </c>
      <c r="F19" s="7">
        <f>F17+0.01</f>
        <v>2.734999999999997</v>
      </c>
      <c r="G19" s="16"/>
      <c r="H19" s="16"/>
      <c r="I19" s="16"/>
      <c r="J19" s="16"/>
      <c r="K19" s="16"/>
    </row>
    <row r="20" spans="1:11" ht="12.75">
      <c r="A20" s="7" t="s">
        <v>32</v>
      </c>
      <c r="B20" s="33" t="s">
        <v>44</v>
      </c>
      <c r="C20" s="33" t="s">
        <v>44</v>
      </c>
      <c r="D20" s="33" t="s">
        <v>44</v>
      </c>
      <c r="E20" s="7" t="s">
        <v>44</v>
      </c>
      <c r="F20" s="7">
        <f t="shared" si="1"/>
        <v>2.744999999999997</v>
      </c>
      <c r="G20" s="16"/>
      <c r="H20" s="16"/>
      <c r="I20" s="16"/>
      <c r="J20" s="16"/>
      <c r="K20" s="16"/>
    </row>
    <row r="21" spans="1:11" ht="12.75">
      <c r="A21" s="7" t="s">
        <v>33</v>
      </c>
      <c r="B21" s="33" t="s">
        <v>44</v>
      </c>
      <c r="C21" s="33" t="s">
        <v>44</v>
      </c>
      <c r="D21" s="33" t="s">
        <v>44</v>
      </c>
      <c r="E21" s="7" t="s">
        <v>44</v>
      </c>
      <c r="F21" s="7">
        <f t="shared" si="1"/>
        <v>2.754999999999997</v>
      </c>
      <c r="G21" s="16"/>
      <c r="H21" s="16"/>
      <c r="I21" s="16"/>
      <c r="J21" s="16"/>
      <c r="K21" s="16"/>
    </row>
    <row r="22" spans="1:11" ht="12.75">
      <c r="A22" s="7" t="s">
        <v>34</v>
      </c>
      <c r="B22" s="33" t="s">
        <v>44</v>
      </c>
      <c r="C22" s="33" t="s">
        <v>44</v>
      </c>
      <c r="D22" s="33" t="s">
        <v>44</v>
      </c>
      <c r="E22" s="7" t="s">
        <v>44</v>
      </c>
      <c r="F22" s="7">
        <f t="shared" si="1"/>
        <v>2.7649999999999966</v>
      </c>
      <c r="G22" s="16"/>
      <c r="H22" s="16"/>
      <c r="I22" s="16"/>
      <c r="J22" s="16"/>
      <c r="K22" s="16"/>
    </row>
    <row r="23" spans="1:11" ht="12.75">
      <c r="A23" s="7" t="s">
        <v>35</v>
      </c>
      <c r="B23" s="33" t="s">
        <v>44</v>
      </c>
      <c r="C23" s="33" t="s">
        <v>44</v>
      </c>
      <c r="D23" s="33" t="s">
        <v>44</v>
      </c>
      <c r="E23" s="7" t="s">
        <v>44</v>
      </c>
      <c r="F23" s="7">
        <f t="shared" si="1"/>
        <v>2.7749999999999964</v>
      </c>
      <c r="G23" s="16"/>
      <c r="H23" s="16"/>
      <c r="I23" s="16"/>
      <c r="J23" s="16"/>
      <c r="K23" s="16"/>
    </row>
    <row r="24" spans="1:11" ht="12.75">
      <c r="A24" s="7" t="s">
        <v>36</v>
      </c>
      <c r="B24" s="33" t="s">
        <v>44</v>
      </c>
      <c r="C24" s="33" t="s">
        <v>44</v>
      </c>
      <c r="D24" s="33" t="s">
        <v>44</v>
      </c>
      <c r="E24" s="7" t="s">
        <v>44</v>
      </c>
      <c r="F24" s="7">
        <f t="shared" si="1"/>
        <v>2.784999999999996</v>
      </c>
      <c r="G24" s="16"/>
      <c r="H24" s="16"/>
      <c r="I24" s="16"/>
      <c r="J24" s="16"/>
      <c r="K24" s="16"/>
    </row>
    <row r="25" spans="1:11" ht="12.75">
      <c r="A25" s="7" t="s">
        <v>37</v>
      </c>
      <c r="B25" s="33" t="s">
        <v>44</v>
      </c>
      <c r="C25" s="33" t="s">
        <v>44</v>
      </c>
      <c r="D25" s="33" t="s">
        <v>44</v>
      </c>
      <c r="E25" s="7" t="s">
        <v>44</v>
      </c>
      <c r="F25" s="7">
        <f t="shared" si="1"/>
        <v>2.794999999999996</v>
      </c>
      <c r="G25" s="16"/>
      <c r="H25" s="16"/>
      <c r="I25" s="16"/>
      <c r="J25" s="16"/>
      <c r="K25" s="16"/>
    </row>
    <row r="26" spans="1:11" ht="12.75">
      <c r="A26" s="7" t="s">
        <v>38</v>
      </c>
      <c r="B26" s="33" t="s">
        <v>44</v>
      </c>
      <c r="C26" s="33" t="s">
        <v>44</v>
      </c>
      <c r="D26" s="33" t="s">
        <v>44</v>
      </c>
      <c r="E26" s="7" t="s">
        <v>44</v>
      </c>
      <c r="F26" s="7">
        <f t="shared" si="1"/>
        <v>2.8049999999999957</v>
      </c>
      <c r="G26" s="16"/>
      <c r="H26" s="16"/>
      <c r="I26" s="16"/>
      <c r="J26" s="16"/>
      <c r="K26" s="16"/>
    </row>
    <row r="27" spans="1:11" ht="12.75">
      <c r="A27" s="7" t="s">
        <v>39</v>
      </c>
      <c r="B27" s="33" t="s">
        <v>44</v>
      </c>
      <c r="C27" s="33" t="s">
        <v>44</v>
      </c>
      <c r="D27" s="33" t="s">
        <v>44</v>
      </c>
      <c r="E27" s="7" t="s">
        <v>44</v>
      </c>
      <c r="F27" s="7">
        <f t="shared" si="1"/>
        <v>2.8149999999999955</v>
      </c>
      <c r="G27" s="16"/>
      <c r="H27" s="16"/>
      <c r="I27" s="16"/>
      <c r="J27" s="16"/>
      <c r="K27" s="16"/>
    </row>
    <row r="28" spans="1:11" ht="12.75">
      <c r="A28" s="7" t="s">
        <v>40</v>
      </c>
      <c r="B28" s="33" t="s">
        <v>44</v>
      </c>
      <c r="C28" s="33" t="s">
        <v>44</v>
      </c>
      <c r="D28" s="33" t="s">
        <v>44</v>
      </c>
      <c r="E28" s="7" t="s">
        <v>44</v>
      </c>
      <c r="F28" s="7">
        <f t="shared" si="1"/>
        <v>2.8249999999999953</v>
      </c>
      <c r="G28" s="16"/>
      <c r="H28" s="16"/>
      <c r="I28" s="16"/>
      <c r="J28" s="16"/>
      <c r="K28" s="16"/>
    </row>
    <row r="29" spans="1:11" ht="12.75">
      <c r="A29" s="7" t="s">
        <v>41</v>
      </c>
      <c r="B29" s="33" t="s">
        <v>44</v>
      </c>
      <c r="C29" s="33" t="s">
        <v>44</v>
      </c>
      <c r="D29" s="33" t="s">
        <v>44</v>
      </c>
      <c r="E29" s="7" t="s">
        <v>44</v>
      </c>
      <c r="F29" s="7">
        <v>4</v>
      </c>
      <c r="G29" s="16"/>
      <c r="H29" s="16"/>
      <c r="I29" s="16"/>
      <c r="J29" s="16"/>
      <c r="K29" s="16"/>
    </row>
    <row r="30" spans="1:11" ht="12.75">
      <c r="A30" s="43" t="s">
        <v>92</v>
      </c>
      <c r="B30" s="33"/>
      <c r="C30" s="33"/>
      <c r="D30" s="33"/>
      <c r="E30" s="7"/>
      <c r="F30" s="7"/>
      <c r="G30" s="16"/>
      <c r="H30" s="16"/>
      <c r="I30" s="16"/>
      <c r="J30" s="16"/>
      <c r="K30" s="16"/>
    </row>
    <row r="31" spans="1:11" ht="12.75">
      <c r="A31" s="1">
        <v>64</v>
      </c>
      <c r="B31" s="1" t="s">
        <v>44</v>
      </c>
      <c r="C31" s="1" t="s">
        <v>44</v>
      </c>
      <c r="D31" s="1" t="s">
        <v>44</v>
      </c>
      <c r="E31" s="1" t="s">
        <v>44</v>
      </c>
      <c r="F31" s="7">
        <v>2.645</v>
      </c>
      <c r="G31" s="16"/>
      <c r="H31" s="16"/>
      <c r="I31" s="16"/>
      <c r="J31" s="16"/>
      <c r="K31" s="16"/>
    </row>
    <row r="32" spans="1:11" ht="12.75">
      <c r="A32" s="1">
        <v>65</v>
      </c>
      <c r="B32" s="1" t="s">
        <v>44</v>
      </c>
      <c r="C32" s="1" t="s">
        <v>44</v>
      </c>
      <c r="D32" s="1" t="s">
        <v>44</v>
      </c>
      <c r="E32" s="1" t="s">
        <v>44</v>
      </c>
      <c r="F32" s="7">
        <f>F31+0.01</f>
        <v>2.655</v>
      </c>
      <c r="G32" s="16"/>
      <c r="H32" s="16"/>
      <c r="I32" s="16"/>
      <c r="J32" s="16"/>
      <c r="K32" s="16"/>
    </row>
    <row r="33" spans="1:11" ht="12.75">
      <c r="A33" s="1">
        <v>66</v>
      </c>
      <c r="B33" s="1" t="s">
        <v>44</v>
      </c>
      <c r="C33" s="1" t="s">
        <v>44</v>
      </c>
      <c r="D33" s="1" t="s">
        <v>44</v>
      </c>
      <c r="E33" s="1" t="s">
        <v>44</v>
      </c>
      <c r="F33" s="7">
        <f>F32+0.01</f>
        <v>2.6649999999999996</v>
      </c>
      <c r="G33" s="16"/>
      <c r="H33" s="16"/>
      <c r="I33" s="16"/>
      <c r="J33" s="16"/>
      <c r="K33" s="16"/>
    </row>
    <row r="34" spans="1:11" ht="12.75">
      <c r="A34" s="1">
        <v>67</v>
      </c>
      <c r="B34" s="1" t="s">
        <v>44</v>
      </c>
      <c r="C34" s="1" t="s">
        <v>44</v>
      </c>
      <c r="D34" s="1" t="s">
        <v>44</v>
      </c>
      <c r="E34" s="1" t="s">
        <v>44</v>
      </c>
      <c r="F34" s="7">
        <f aca="true" t="shared" si="2" ref="F34:F41">F33+0.01</f>
        <v>2.6749999999999994</v>
      </c>
      <c r="G34" s="16"/>
      <c r="H34" s="16"/>
      <c r="I34" s="16"/>
      <c r="J34" s="16"/>
      <c r="K34" s="16"/>
    </row>
    <row r="35" spans="1:11" ht="12.75">
      <c r="A35" s="1">
        <v>68</v>
      </c>
      <c r="B35" s="1" t="s">
        <v>44</v>
      </c>
      <c r="C35" s="1" t="s">
        <v>44</v>
      </c>
      <c r="D35" s="1" t="s">
        <v>44</v>
      </c>
      <c r="E35" s="1" t="s">
        <v>44</v>
      </c>
      <c r="F35" s="7">
        <f t="shared" si="2"/>
        <v>2.684999999999999</v>
      </c>
      <c r="G35" s="16"/>
      <c r="H35" s="16"/>
      <c r="I35" s="16"/>
      <c r="J35" s="16"/>
      <c r="K35" s="16"/>
    </row>
    <row r="36" spans="1:11" ht="12.75">
      <c r="A36" s="1">
        <v>69</v>
      </c>
      <c r="B36" s="1" t="s">
        <v>44</v>
      </c>
      <c r="C36" s="1" t="s">
        <v>44</v>
      </c>
      <c r="D36" s="1" t="s">
        <v>44</v>
      </c>
      <c r="E36" s="1" t="s">
        <v>44</v>
      </c>
      <c r="F36" s="7">
        <f t="shared" si="2"/>
        <v>2.694999999999999</v>
      </c>
      <c r="G36" s="16"/>
      <c r="H36" s="16"/>
      <c r="I36" s="16"/>
      <c r="J36" s="16"/>
      <c r="K36" s="16"/>
    </row>
    <row r="37" spans="1:11" ht="12.75">
      <c r="A37" s="1">
        <v>70</v>
      </c>
      <c r="B37" s="1" t="s">
        <v>44</v>
      </c>
      <c r="C37" s="1" t="s">
        <v>44</v>
      </c>
      <c r="D37" s="1" t="s">
        <v>44</v>
      </c>
      <c r="E37" s="1" t="s">
        <v>44</v>
      </c>
      <c r="F37" s="7">
        <f t="shared" si="2"/>
        <v>2.7049999999999987</v>
      </c>
      <c r="G37" s="16"/>
      <c r="H37" s="16"/>
      <c r="I37" s="16"/>
      <c r="J37" s="16"/>
      <c r="K37" s="16"/>
    </row>
    <row r="38" spans="1:11" ht="12.75">
      <c r="A38" s="1">
        <v>71</v>
      </c>
      <c r="B38" s="1" t="s">
        <v>44</v>
      </c>
      <c r="C38" s="1" t="s">
        <v>44</v>
      </c>
      <c r="D38" s="1" t="s">
        <v>44</v>
      </c>
      <c r="E38" s="1" t="s">
        <v>44</v>
      </c>
      <c r="F38" s="7">
        <f t="shared" si="2"/>
        <v>2.7149999999999985</v>
      </c>
      <c r="G38" s="16"/>
      <c r="H38" s="16"/>
      <c r="I38" s="16"/>
      <c r="J38" s="16"/>
      <c r="K38" s="16"/>
    </row>
    <row r="39" spans="1:11" ht="12.75">
      <c r="A39" s="1">
        <v>72</v>
      </c>
      <c r="B39" s="1" t="s">
        <v>44</v>
      </c>
      <c r="C39" s="1" t="s">
        <v>44</v>
      </c>
      <c r="D39" s="1" t="s">
        <v>44</v>
      </c>
      <c r="E39" s="1" t="s">
        <v>44</v>
      </c>
      <c r="F39" s="7">
        <f t="shared" si="2"/>
        <v>2.7249999999999983</v>
      </c>
      <c r="G39" s="16"/>
      <c r="H39" s="16"/>
      <c r="I39" s="16"/>
      <c r="J39" s="16"/>
      <c r="K39" s="16"/>
    </row>
    <row r="40" spans="1:11" ht="12.75">
      <c r="A40" s="1">
        <v>73</v>
      </c>
      <c r="B40" s="1" t="s">
        <v>44</v>
      </c>
      <c r="C40" s="1" t="s">
        <v>44</v>
      </c>
      <c r="D40" s="1" t="s">
        <v>44</v>
      </c>
      <c r="E40" s="1" t="s">
        <v>44</v>
      </c>
      <c r="F40" s="7">
        <f t="shared" si="2"/>
        <v>2.734999999999998</v>
      </c>
      <c r="G40" s="16"/>
      <c r="H40" s="16"/>
      <c r="I40" s="16"/>
      <c r="J40" s="16"/>
      <c r="K40" s="16"/>
    </row>
    <row r="41" spans="1:11" ht="12.75">
      <c r="A41" s="1">
        <v>74</v>
      </c>
      <c r="B41" s="1" t="s">
        <v>44</v>
      </c>
      <c r="C41" s="1" t="s">
        <v>44</v>
      </c>
      <c r="D41" s="1" t="s">
        <v>44</v>
      </c>
      <c r="E41" s="1" t="s">
        <v>44</v>
      </c>
      <c r="F41" s="7">
        <f t="shared" si="2"/>
        <v>2.744999999999998</v>
      </c>
      <c r="G41" s="16"/>
      <c r="H41" s="16"/>
      <c r="I41" s="16"/>
      <c r="J41" s="16"/>
      <c r="K41" s="16"/>
    </row>
    <row r="42" spans="1:11" ht="12.75">
      <c r="A42" s="1">
        <v>75</v>
      </c>
      <c r="B42" s="1" t="s">
        <v>44</v>
      </c>
      <c r="C42" s="1" t="s">
        <v>44</v>
      </c>
      <c r="D42" s="1" t="s">
        <v>44</v>
      </c>
      <c r="E42" s="1" t="s">
        <v>44</v>
      </c>
      <c r="F42" s="7">
        <f>F41+0.01</f>
        <v>2.7549999999999977</v>
      </c>
      <c r="G42" s="16"/>
      <c r="H42" s="16"/>
      <c r="I42" s="16"/>
      <c r="J42" s="16"/>
      <c r="K42" s="16"/>
    </row>
    <row r="43" spans="1:11" ht="12.75">
      <c r="A43" s="1">
        <v>76</v>
      </c>
      <c r="B43" s="1" t="s">
        <v>44</v>
      </c>
      <c r="C43" s="1" t="s">
        <v>44</v>
      </c>
      <c r="D43" s="1" t="s">
        <v>44</v>
      </c>
      <c r="E43" s="1" t="s">
        <v>44</v>
      </c>
      <c r="F43" s="7">
        <f>F42+0.01</f>
        <v>2.7649999999999975</v>
      </c>
      <c r="G43" s="16"/>
      <c r="H43" s="16"/>
      <c r="I43" s="16"/>
      <c r="J43" s="16"/>
      <c r="K43" s="16"/>
    </row>
    <row r="44" spans="1:11" ht="12.75">
      <c r="A44" s="1" t="s">
        <v>0</v>
      </c>
      <c r="B44" s="1" t="s">
        <v>44</v>
      </c>
      <c r="C44" s="1" t="s">
        <v>44</v>
      </c>
      <c r="D44" s="1" t="s">
        <v>44</v>
      </c>
      <c r="E44" s="65">
        <v>34.55</v>
      </c>
      <c r="F44" s="1" t="s">
        <v>44</v>
      </c>
      <c r="G44" s="16"/>
      <c r="H44" s="16"/>
      <c r="I44" s="16"/>
      <c r="J44" s="16"/>
      <c r="K44" s="16"/>
    </row>
    <row r="45" spans="1:11" ht="12.75">
      <c r="A45" s="1" t="s">
        <v>21</v>
      </c>
      <c r="B45" s="1" t="s">
        <v>44</v>
      </c>
      <c r="C45" s="1" t="s">
        <v>44</v>
      </c>
      <c r="D45" s="1" t="s">
        <v>44</v>
      </c>
      <c r="E45" s="65">
        <f>E44+0.45</f>
        <v>35</v>
      </c>
      <c r="F45" s="1" t="s">
        <v>44</v>
      </c>
      <c r="G45" s="16"/>
      <c r="H45" s="16"/>
      <c r="I45" s="16"/>
      <c r="J45" s="16"/>
      <c r="K45" s="16"/>
    </row>
    <row r="46" spans="1:11" ht="12.75">
      <c r="A46" s="1" t="s">
        <v>22</v>
      </c>
      <c r="B46" s="1" t="s">
        <v>44</v>
      </c>
      <c r="C46" s="1" t="s">
        <v>44</v>
      </c>
      <c r="D46" s="1" t="s">
        <v>44</v>
      </c>
      <c r="E46" s="65">
        <f aca="true" t="shared" si="3" ref="E46:E56">E45+0.45</f>
        <v>35.45</v>
      </c>
      <c r="F46" s="1" t="s">
        <v>44</v>
      </c>
      <c r="G46" s="16"/>
      <c r="H46" s="16"/>
      <c r="I46" s="16"/>
      <c r="J46" s="16"/>
      <c r="K46" s="16"/>
    </row>
    <row r="47" spans="1:11" ht="12.75">
      <c r="A47" s="1" t="s">
        <v>3</v>
      </c>
      <c r="B47" s="1" t="s">
        <v>44</v>
      </c>
      <c r="C47" s="1" t="s">
        <v>44</v>
      </c>
      <c r="D47" s="1" t="s">
        <v>44</v>
      </c>
      <c r="E47" s="65">
        <f t="shared" si="3"/>
        <v>35.900000000000006</v>
      </c>
      <c r="F47" s="1" t="s">
        <v>44</v>
      </c>
      <c r="G47" s="16"/>
      <c r="H47" s="16"/>
      <c r="I47" s="16"/>
      <c r="J47" s="16"/>
      <c r="K47" s="16"/>
    </row>
    <row r="48" spans="1:11" ht="12.75">
      <c r="A48" s="1" t="s">
        <v>8</v>
      </c>
      <c r="B48" s="1" t="s">
        <v>44</v>
      </c>
      <c r="C48" s="1" t="s">
        <v>44</v>
      </c>
      <c r="D48" s="1" t="s">
        <v>44</v>
      </c>
      <c r="E48" s="65">
        <f t="shared" si="3"/>
        <v>36.35000000000001</v>
      </c>
      <c r="F48" s="1" t="s">
        <v>44</v>
      </c>
      <c r="G48" s="16"/>
      <c r="H48" s="16"/>
      <c r="I48" s="16"/>
      <c r="J48" s="16"/>
      <c r="K48" s="16"/>
    </row>
    <row r="49" spans="1:11" ht="12.75">
      <c r="A49" s="1" t="s">
        <v>23</v>
      </c>
      <c r="B49" s="1" t="s">
        <v>44</v>
      </c>
      <c r="C49" s="1" t="s">
        <v>44</v>
      </c>
      <c r="D49" s="1" t="s">
        <v>44</v>
      </c>
      <c r="E49" s="65">
        <f t="shared" si="3"/>
        <v>36.80000000000001</v>
      </c>
      <c r="F49" s="1" t="s">
        <v>44</v>
      </c>
      <c r="G49" s="16"/>
      <c r="H49" s="16"/>
      <c r="I49" s="16"/>
      <c r="J49" s="16"/>
      <c r="K49" s="16"/>
    </row>
    <row r="50" spans="1:6" s="1" customFormat="1" ht="12.75">
      <c r="A50" s="1" t="s">
        <v>24</v>
      </c>
      <c r="B50" s="1" t="s">
        <v>44</v>
      </c>
      <c r="C50" s="1" t="s">
        <v>44</v>
      </c>
      <c r="D50" s="1" t="s">
        <v>44</v>
      </c>
      <c r="E50" s="65">
        <f t="shared" si="3"/>
        <v>37.250000000000014</v>
      </c>
      <c r="F50" s="1" t="s">
        <v>44</v>
      </c>
    </row>
    <row r="51" spans="1:6" ht="12.75">
      <c r="A51" s="1" t="s">
        <v>25</v>
      </c>
      <c r="B51" s="1" t="s">
        <v>44</v>
      </c>
      <c r="C51" s="1" t="s">
        <v>44</v>
      </c>
      <c r="D51" s="1" t="s">
        <v>44</v>
      </c>
      <c r="E51" s="65">
        <f t="shared" si="3"/>
        <v>37.70000000000002</v>
      </c>
      <c r="F51" s="1" t="s">
        <v>44</v>
      </c>
    </row>
    <row r="52" spans="1:6" ht="12.75">
      <c r="A52" s="1" t="s">
        <v>27</v>
      </c>
      <c r="B52" s="1" t="s">
        <v>44</v>
      </c>
      <c r="C52" s="1" t="s">
        <v>44</v>
      </c>
      <c r="D52" s="1" t="s">
        <v>44</v>
      </c>
      <c r="E52" s="65">
        <f t="shared" si="3"/>
        <v>38.15000000000002</v>
      </c>
      <c r="F52" s="1" t="s">
        <v>44</v>
      </c>
    </row>
    <row r="53" spans="1:6" ht="12.75">
      <c r="A53" s="1" t="s">
        <v>28</v>
      </c>
      <c r="B53" s="1" t="s">
        <v>44</v>
      </c>
      <c r="C53" s="1" t="s">
        <v>44</v>
      </c>
      <c r="D53" s="1" t="s">
        <v>44</v>
      </c>
      <c r="E53" s="65">
        <f t="shared" si="3"/>
        <v>38.60000000000002</v>
      </c>
      <c r="F53" s="1" t="s">
        <v>44</v>
      </c>
    </row>
    <row r="54" spans="1:6" ht="12.75">
      <c r="A54" s="1" t="s">
        <v>11</v>
      </c>
      <c r="B54" s="1" t="s">
        <v>44</v>
      </c>
      <c r="C54" s="1" t="s">
        <v>44</v>
      </c>
      <c r="D54" s="1" t="s">
        <v>44</v>
      </c>
      <c r="E54" s="65">
        <f t="shared" si="3"/>
        <v>39.050000000000026</v>
      </c>
      <c r="F54" s="1" t="s">
        <v>44</v>
      </c>
    </row>
    <row r="55" spans="1:6" ht="12.75">
      <c r="A55" s="1" t="s">
        <v>47</v>
      </c>
      <c r="B55" s="1" t="s">
        <v>44</v>
      </c>
      <c r="C55" s="1" t="s">
        <v>44</v>
      </c>
      <c r="D55" s="1" t="s">
        <v>44</v>
      </c>
      <c r="E55" s="65">
        <f t="shared" si="3"/>
        <v>39.50000000000003</v>
      </c>
      <c r="F55" s="1" t="s">
        <v>44</v>
      </c>
    </row>
    <row r="56" spans="1:6" ht="12.75">
      <c r="A56" s="1" t="s">
        <v>29</v>
      </c>
      <c r="B56" s="1" t="s">
        <v>44</v>
      </c>
      <c r="C56" s="1" t="s">
        <v>44</v>
      </c>
      <c r="D56" s="1" t="s">
        <v>44</v>
      </c>
      <c r="E56" s="65">
        <f t="shared" si="3"/>
        <v>39.95000000000003</v>
      </c>
      <c r="F56" s="1" t="s">
        <v>44</v>
      </c>
    </row>
    <row r="57" spans="1:6" s="1" customFormat="1" ht="12.75">
      <c r="A57" s="1" t="s">
        <v>164</v>
      </c>
      <c r="B57" s="7">
        <v>1</v>
      </c>
      <c r="C57" s="7">
        <v>0</v>
      </c>
      <c r="D57" s="41">
        <f aca="true" t="shared" si="4" ref="D57:D65">B57+C57/60</f>
        <v>1</v>
      </c>
      <c r="E57" s="1" t="s">
        <v>44</v>
      </c>
      <c r="F57" s="1" t="s">
        <v>44</v>
      </c>
    </row>
    <row r="58" spans="1:6" s="1" customFormat="1" ht="12.75">
      <c r="A58" s="1" t="s">
        <v>89</v>
      </c>
      <c r="B58" s="7">
        <v>1</v>
      </c>
      <c r="C58" s="7">
        <v>15</v>
      </c>
      <c r="D58" s="41">
        <f t="shared" si="4"/>
        <v>1.25</v>
      </c>
      <c r="E58" s="1" t="s">
        <v>44</v>
      </c>
      <c r="F58" s="1" t="s">
        <v>44</v>
      </c>
    </row>
    <row r="59" spans="1:6" ht="12.75">
      <c r="A59" s="1" t="s">
        <v>88</v>
      </c>
      <c r="B59" s="7">
        <v>1</v>
      </c>
      <c r="C59" s="7">
        <v>34</v>
      </c>
      <c r="D59" s="41">
        <f t="shared" si="4"/>
        <v>1.5666666666666667</v>
      </c>
      <c r="E59" s="1" t="s">
        <v>44</v>
      </c>
      <c r="F59" s="1" t="s">
        <v>44</v>
      </c>
    </row>
    <row r="60" spans="1:6" ht="12.75">
      <c r="A60" s="1" t="s">
        <v>90</v>
      </c>
      <c r="B60" s="7">
        <v>1</v>
      </c>
      <c r="C60" s="7">
        <v>45</v>
      </c>
      <c r="D60" s="41">
        <f t="shared" si="4"/>
        <v>1.75</v>
      </c>
      <c r="E60" s="1" t="s">
        <v>44</v>
      </c>
      <c r="F60" s="1" t="s">
        <v>44</v>
      </c>
    </row>
    <row r="61" spans="1:6" ht="12.75">
      <c r="A61" s="1" t="s">
        <v>91</v>
      </c>
      <c r="B61" s="7">
        <v>2</v>
      </c>
      <c r="C61" s="7">
        <v>0</v>
      </c>
      <c r="D61" s="41">
        <f t="shared" si="4"/>
        <v>2</v>
      </c>
      <c r="E61" s="1" t="s">
        <v>44</v>
      </c>
      <c r="F61" s="1" t="s">
        <v>44</v>
      </c>
    </row>
    <row r="62" spans="1:6" ht="12.75">
      <c r="A62" s="1" t="s">
        <v>165</v>
      </c>
      <c r="B62" s="7">
        <v>2</v>
      </c>
      <c r="C62" s="7">
        <v>15</v>
      </c>
      <c r="D62" s="41">
        <f t="shared" si="4"/>
        <v>2.25</v>
      </c>
      <c r="E62" s="1" t="s">
        <v>44</v>
      </c>
      <c r="F62" s="1" t="s">
        <v>44</v>
      </c>
    </row>
    <row r="63" spans="1:6" ht="12.75">
      <c r="A63" s="1" t="s">
        <v>166</v>
      </c>
      <c r="B63" s="7">
        <v>2</v>
      </c>
      <c r="C63" s="7">
        <v>34</v>
      </c>
      <c r="D63" s="41">
        <f t="shared" si="4"/>
        <v>2.5666666666666664</v>
      </c>
      <c r="E63" s="1" t="s">
        <v>44</v>
      </c>
      <c r="F63" s="1" t="s">
        <v>44</v>
      </c>
    </row>
    <row r="64" spans="1:6" ht="12.75">
      <c r="A64" s="1" t="s">
        <v>168</v>
      </c>
      <c r="B64" s="7">
        <v>2</v>
      </c>
      <c r="C64" s="7">
        <v>45</v>
      </c>
      <c r="D64" s="41">
        <f t="shared" si="4"/>
        <v>2.75</v>
      </c>
      <c r="E64" s="1" t="s">
        <v>44</v>
      </c>
      <c r="F64" s="1" t="s">
        <v>44</v>
      </c>
    </row>
    <row r="65" spans="1:6" ht="12.75">
      <c r="A65" s="1" t="s">
        <v>167</v>
      </c>
      <c r="B65" s="7">
        <v>3</v>
      </c>
      <c r="C65" s="7">
        <v>0</v>
      </c>
      <c r="D65" s="41">
        <f t="shared" si="4"/>
        <v>3</v>
      </c>
      <c r="E65" s="1" t="s">
        <v>44</v>
      </c>
      <c r="F65" s="1" t="s">
        <v>44</v>
      </c>
    </row>
    <row r="68" spans="1:14" ht="12.75">
      <c r="A68" s="43" t="s">
        <v>86</v>
      </c>
      <c r="B68" s="43"/>
      <c r="C68" s="43"/>
      <c r="D68" s="43" t="s">
        <v>50</v>
      </c>
      <c r="E68" s="43" t="s">
        <v>2</v>
      </c>
      <c r="F68" s="43" t="s">
        <v>60</v>
      </c>
      <c r="G68" s="43" t="s">
        <v>48</v>
      </c>
      <c r="H68" s="43" t="s">
        <v>51</v>
      </c>
      <c r="I68" s="43" t="s">
        <v>49</v>
      </c>
      <c r="J68" s="43" t="s">
        <v>61</v>
      </c>
      <c r="K68" s="43" t="s">
        <v>53</v>
      </c>
      <c r="L68" s="43" t="s">
        <v>52</v>
      </c>
      <c r="M68" s="43" t="s">
        <v>62</v>
      </c>
      <c r="N68" s="43" t="s">
        <v>63</v>
      </c>
    </row>
    <row r="69" spans="1:14" ht="12.75">
      <c r="A69" s="33"/>
      <c r="B69" s="51"/>
      <c r="C69" s="51"/>
      <c r="D69" s="43" t="s">
        <v>1</v>
      </c>
      <c r="E69" s="43" t="s">
        <v>5</v>
      </c>
      <c r="F69" s="43" t="s">
        <v>5</v>
      </c>
      <c r="G69" s="43" t="s">
        <v>5</v>
      </c>
      <c r="H69" s="43" t="s">
        <v>1</v>
      </c>
      <c r="I69" s="43" t="s">
        <v>5</v>
      </c>
      <c r="J69" s="43" t="s">
        <v>5</v>
      </c>
      <c r="K69" s="43" t="s">
        <v>1</v>
      </c>
      <c r="L69" s="43" t="s">
        <v>5</v>
      </c>
      <c r="M69" s="43" t="s">
        <v>5</v>
      </c>
      <c r="N69" s="43" t="s">
        <v>5</v>
      </c>
    </row>
    <row r="70" spans="1:13" ht="12.75">
      <c r="A70" s="43" t="s">
        <v>83</v>
      </c>
      <c r="B70" s="9"/>
      <c r="C70" s="9"/>
      <c r="D70" s="43"/>
      <c r="E70" s="9"/>
      <c r="F70" s="9"/>
      <c r="G70" s="9"/>
      <c r="H70" s="43"/>
      <c r="I70" s="9"/>
      <c r="J70" s="9"/>
      <c r="K70" s="43"/>
      <c r="L70" s="9"/>
      <c r="M70" s="9"/>
    </row>
    <row r="71" spans="1:14" ht="12.75">
      <c r="A71" s="32" t="s">
        <v>162</v>
      </c>
      <c r="B71" s="32"/>
      <c r="C71" s="32"/>
      <c r="D71" s="59">
        <v>0.5</v>
      </c>
      <c r="E71" s="38">
        <v>38.15</v>
      </c>
      <c r="F71" s="38">
        <v>2.655</v>
      </c>
      <c r="G71" s="62">
        <f>I71-(F71-J71)/TAN(PI()/180*D71)</f>
        <v>31.86181053645015</v>
      </c>
      <c r="H71" s="44">
        <v>1.567</v>
      </c>
      <c r="I71" s="63">
        <f>(F71-J71)/(TAN(PI()/180*H71))+N71</f>
        <v>33.58064028838976</v>
      </c>
      <c r="J71" s="15">
        <v>2.64</v>
      </c>
      <c r="K71" s="59">
        <v>4</v>
      </c>
      <c r="L71" s="64">
        <f>(F71-M71)/TAN(PI()/180*H71)+N71</f>
        <v>49.66478647325778</v>
      </c>
      <c r="M71" s="15">
        <v>2.2</v>
      </c>
      <c r="N71" s="62">
        <f>E71-(F71-2.515)/TAN(PI()/180*H71)</f>
        <v>33.032317122996545</v>
      </c>
    </row>
    <row r="72" spans="1:14" ht="12.75">
      <c r="A72" s="37" t="s">
        <v>163</v>
      </c>
      <c r="B72" s="37"/>
      <c r="C72" s="37"/>
      <c r="D72" s="60">
        <v>0.5</v>
      </c>
      <c r="E72" s="56">
        <v>38.15</v>
      </c>
      <c r="F72" s="38">
        <v>2.665</v>
      </c>
      <c r="G72" s="62">
        <f>I72-(F72-J72)/TAN(PI()/180*D72)</f>
        <v>30.715924035157038</v>
      </c>
      <c r="H72" s="55">
        <v>1.567</v>
      </c>
      <c r="I72" s="63">
        <f>(F72-J72)/(TAN(PI()/180*H72))+N72</f>
        <v>33.580640288389766</v>
      </c>
      <c r="J72" s="57">
        <v>2.64</v>
      </c>
      <c r="K72" s="60">
        <v>4</v>
      </c>
      <c r="L72" s="64">
        <f>(F72-M72)/TAN(PI()/180*H72)+N72</f>
        <v>49.664786473257784</v>
      </c>
      <c r="M72" s="57">
        <v>2.2</v>
      </c>
      <c r="N72" s="62">
        <f>E72-(F72-2.515)/TAN(PI()/180*H72)</f>
        <v>32.66676834606772</v>
      </c>
    </row>
    <row r="73" spans="1:14" ht="12.75">
      <c r="A73" s="32" t="s">
        <v>66</v>
      </c>
      <c r="B73" s="32"/>
      <c r="C73" s="32"/>
      <c r="D73" s="59">
        <v>0.5</v>
      </c>
      <c r="E73" s="38">
        <v>38.15</v>
      </c>
      <c r="F73" s="38">
        <v>2.675</v>
      </c>
      <c r="G73" s="62">
        <f>I73-(F73-J73)/TAN(PI()/180*D73)</f>
        <v>29.570037533863957</v>
      </c>
      <c r="H73" s="44">
        <v>1.567</v>
      </c>
      <c r="I73" s="63">
        <f>(F73-J73)/(TAN(PI()/180*H73))+N73</f>
        <v>33.58064028838976</v>
      </c>
      <c r="J73" s="15">
        <v>2.64</v>
      </c>
      <c r="K73" s="59">
        <v>4</v>
      </c>
      <c r="L73" s="64">
        <f>(F73-M73)/TAN(PI()/180*H73)+N73</f>
        <v>49.66478647325778</v>
      </c>
      <c r="M73" s="15">
        <v>2.2</v>
      </c>
      <c r="N73" s="62">
        <f>E73-(F73-2.515)/TAN(PI()/180*H73)</f>
        <v>32.30121956913891</v>
      </c>
    </row>
    <row r="74" spans="1:14" ht="12.75">
      <c r="A74" s="37" t="s">
        <v>67</v>
      </c>
      <c r="B74" s="37"/>
      <c r="C74" s="37"/>
      <c r="D74" s="60">
        <v>0.5</v>
      </c>
      <c r="E74" s="56">
        <v>38.15</v>
      </c>
      <c r="F74" s="38">
        <v>2.685</v>
      </c>
      <c r="G74" s="62">
        <f>I74-(F74-J74)/TAN(PI()/180*D74)</f>
        <v>28.42415103257084</v>
      </c>
      <c r="H74" s="55">
        <v>1.567</v>
      </c>
      <c r="I74" s="63">
        <f>(F74-J74)/(TAN(PI()/180*H74))+N74</f>
        <v>33.580640288389766</v>
      </c>
      <c r="J74" s="57">
        <v>2.64</v>
      </c>
      <c r="K74" s="60">
        <v>4</v>
      </c>
      <c r="L74" s="64">
        <f>(F74-M74)/TAN(PI()/180*H74)+N74</f>
        <v>49.664786473257784</v>
      </c>
      <c r="M74" s="57">
        <v>2.2</v>
      </c>
      <c r="N74" s="62">
        <f>E74-(F74-2.515)/TAN(PI()/180*H74)</f>
        <v>31.935670792210082</v>
      </c>
    </row>
    <row r="75" spans="1:14" ht="12.75">
      <c r="A75" s="32" t="s">
        <v>82</v>
      </c>
      <c r="B75" s="32"/>
      <c r="C75" s="32"/>
      <c r="D75" s="60">
        <v>0.5</v>
      </c>
      <c r="E75" s="56">
        <v>38.15</v>
      </c>
      <c r="F75" s="56">
        <v>2.695</v>
      </c>
      <c r="G75" s="62">
        <f>I75-(F75-J75)/TAN(PI()/180*D75)</f>
        <v>27.27826453127777</v>
      </c>
      <c r="H75" s="55">
        <v>1.567</v>
      </c>
      <c r="I75" s="63">
        <f>(F75-J75)/(TAN(PI()/180*H75))+N75</f>
        <v>33.580640288389766</v>
      </c>
      <c r="J75" s="57">
        <v>2.64</v>
      </c>
      <c r="K75" s="60">
        <v>4</v>
      </c>
      <c r="L75" s="64">
        <f>(F75-M75)/TAN(PI()/180*H75)+N75</f>
        <v>49.664786473257784</v>
      </c>
      <c r="M75" s="57">
        <v>2.2</v>
      </c>
      <c r="N75" s="62">
        <f>E75-(F75-2.515)/TAN(PI()/180*H75)</f>
        <v>31.57012201528127</v>
      </c>
    </row>
    <row r="76" spans="1:13" ht="12.75">
      <c r="A76" s="52" t="s">
        <v>173</v>
      </c>
      <c r="B76" s="31"/>
      <c r="C76" s="31"/>
      <c r="D76" s="61"/>
      <c r="E76" s="42"/>
      <c r="F76" s="42"/>
      <c r="G76" s="42"/>
      <c r="H76" s="45"/>
      <c r="I76" s="42"/>
      <c r="J76" s="58"/>
      <c r="K76" s="61"/>
      <c r="L76" s="42"/>
      <c r="M76" s="58"/>
    </row>
    <row r="77" spans="1:14" ht="12.75">
      <c r="A77" s="32" t="s">
        <v>178</v>
      </c>
      <c r="B77" s="32"/>
      <c r="C77" s="32"/>
      <c r="D77" s="60">
        <v>1</v>
      </c>
      <c r="E77" s="56">
        <v>37.25</v>
      </c>
      <c r="F77" s="38">
        <v>2.725</v>
      </c>
      <c r="G77" s="62">
        <f>I77-(F77-J77)/TAN(PI()/180*D77)</f>
        <v>26.15218683474501</v>
      </c>
      <c r="H77" s="55">
        <v>1.567</v>
      </c>
      <c r="I77" s="63">
        <f>(F77-J77)/(TAN(PI()/180*H77))+N77</f>
        <v>35.605030503820316</v>
      </c>
      <c r="J77" s="57">
        <v>2.56</v>
      </c>
      <c r="K77" s="55">
        <v>1.567</v>
      </c>
      <c r="L77" s="64">
        <f>(F77-M77)/TAN(PI()/180*H77)+N77</f>
        <v>74.3532008582751</v>
      </c>
      <c r="M77" s="57">
        <v>1.5</v>
      </c>
      <c r="N77" s="62">
        <f>E77-(F77-2.515)/TAN(PI()/180*H77)</f>
        <v>29.57347568449481</v>
      </c>
    </row>
    <row r="78" spans="1:14" ht="12.75">
      <c r="A78" s="32" t="s">
        <v>179</v>
      </c>
      <c r="B78" s="32" t="s">
        <v>170</v>
      </c>
      <c r="C78" s="32" t="s">
        <v>174</v>
      </c>
      <c r="D78" s="60">
        <v>1</v>
      </c>
      <c r="E78" s="56">
        <v>37.25</v>
      </c>
      <c r="F78" s="38">
        <v>2.745</v>
      </c>
      <c r="G78" s="62">
        <f>I78-(F78-J78)/TAN(PI()/180*D78)</f>
        <v>25.00638760212982</v>
      </c>
      <c r="H78" s="55">
        <v>1.567</v>
      </c>
      <c r="I78" s="63">
        <f>(F78-J78)/(TAN(PI()/180*H78))+N78</f>
        <v>35.605030503820316</v>
      </c>
      <c r="J78" s="57">
        <v>2.56</v>
      </c>
      <c r="K78" s="55">
        <v>1.567</v>
      </c>
      <c r="L78" s="64">
        <f>(F78-M78)/TAN(PI()/180*H78)+N78</f>
        <v>74.3532008582751</v>
      </c>
      <c r="M78" s="57">
        <v>1.5</v>
      </c>
      <c r="N78" s="62">
        <f>E78-(F78-2.515)/TAN(PI()/180*H78)</f>
        <v>28.842378130637172</v>
      </c>
    </row>
    <row r="79" spans="1:14" ht="12.75">
      <c r="A79" s="32" t="s">
        <v>180</v>
      </c>
      <c r="B79" s="32"/>
      <c r="C79" s="32"/>
      <c r="D79" s="60">
        <v>1</v>
      </c>
      <c r="E79" s="56">
        <v>37.25</v>
      </c>
      <c r="F79" s="38">
        <v>2.755</v>
      </c>
      <c r="G79" s="62">
        <f>I79-(F79-J79)/TAN(PI()/180*D79)</f>
        <v>24.43348798582224</v>
      </c>
      <c r="H79" s="55">
        <v>1.567</v>
      </c>
      <c r="I79" s="63">
        <f>(F79-J79)/(TAN(PI()/180*H79))+N79</f>
        <v>35.605030503820316</v>
      </c>
      <c r="J79" s="57">
        <v>2.56</v>
      </c>
      <c r="K79" s="55">
        <v>1.567</v>
      </c>
      <c r="L79" s="64">
        <f>(F79-M79)/TAN(PI()/180*H79)+N79</f>
        <v>74.3532008582751</v>
      </c>
      <c r="M79" s="57">
        <v>1.5</v>
      </c>
      <c r="N79" s="62">
        <f>E79-(F79-2.515)/TAN(PI()/180*H79)</f>
        <v>28.47682935370836</v>
      </c>
    </row>
    <row r="80" spans="1:14" ht="12.75">
      <c r="A80" s="32" t="s">
        <v>228</v>
      </c>
      <c r="B80" s="32"/>
      <c r="C80" s="32"/>
      <c r="D80" s="60">
        <v>1</v>
      </c>
      <c r="E80" s="56">
        <v>37.25</v>
      </c>
      <c r="F80" s="38">
        <v>2.735</v>
      </c>
      <c r="G80" s="62">
        <f>I80-(F80-J80)/TAN(PI()/180*D80)</f>
        <v>25.57928721843743</v>
      </c>
      <c r="H80" s="55">
        <v>1.567</v>
      </c>
      <c r="I80" s="63">
        <f>(F80-J80)/(TAN(PI()/180*H80))+N80</f>
        <v>35.605030503820316</v>
      </c>
      <c r="J80" s="57">
        <v>2.56</v>
      </c>
      <c r="K80" s="55">
        <v>1.567</v>
      </c>
      <c r="L80" s="64">
        <f>(F80-M80)/TAN(PI()/180*H80)+N80</f>
        <v>74.3532008582751</v>
      </c>
      <c r="M80" s="57">
        <v>1.5</v>
      </c>
      <c r="N80" s="62">
        <f>E80-(F80-2.515)/TAN(PI()/180*H80)</f>
        <v>29.207926907565998</v>
      </c>
    </row>
    <row r="81" spans="1:13" ht="12.75">
      <c r="A81" s="52" t="s">
        <v>187</v>
      </c>
      <c r="B81" s="31"/>
      <c r="C81" s="31"/>
      <c r="D81" s="61"/>
      <c r="E81" s="42"/>
      <c r="F81" s="42"/>
      <c r="G81" s="42"/>
      <c r="H81" s="45"/>
      <c r="I81" s="42"/>
      <c r="J81" s="58"/>
      <c r="K81" s="61"/>
      <c r="L81" s="42"/>
      <c r="M81" s="58"/>
    </row>
    <row r="82" spans="1:14" ht="12.75">
      <c r="A82" s="32" t="s">
        <v>191</v>
      </c>
      <c r="B82" s="32"/>
      <c r="C82" s="32"/>
      <c r="D82" s="60">
        <v>0.75</v>
      </c>
      <c r="E82" s="38">
        <v>34.55</v>
      </c>
      <c r="F82" s="38">
        <v>2.685</v>
      </c>
      <c r="G82" s="62">
        <f>I82-(F82-J82)/TAN(PI()/180*D82)</f>
        <v>26.543089869388645</v>
      </c>
      <c r="H82" s="44">
        <v>1.567</v>
      </c>
      <c r="I82" s="63">
        <f>(F82-J82)/(TAN(PI()/180*H82))+N82</f>
        <v>29.98064028838976</v>
      </c>
      <c r="J82" s="15">
        <v>2.64</v>
      </c>
      <c r="K82" s="59">
        <v>3</v>
      </c>
      <c r="L82" s="64">
        <f>(F82-M82)/TAN(PI()/180*H82)+N82</f>
        <v>46.06478647325778</v>
      </c>
      <c r="M82" s="15">
        <v>2.2</v>
      </c>
      <c r="N82" s="62">
        <f>E82-(F82-2.515)/TAN(PI()/180*H82)</f>
        <v>28.33567079221008</v>
      </c>
    </row>
    <row r="83" spans="1:14" ht="12.75">
      <c r="A83" s="32" t="s">
        <v>188</v>
      </c>
      <c r="B83" s="32"/>
      <c r="C83" s="32"/>
      <c r="D83" s="60">
        <v>0.75</v>
      </c>
      <c r="E83" s="38">
        <v>34.55</v>
      </c>
      <c r="F83" s="38">
        <v>2.695</v>
      </c>
      <c r="G83" s="62">
        <f>I83-(F83-J83)/TAN(PI()/180*D83)</f>
        <v>25.7791897762773</v>
      </c>
      <c r="H83" s="55">
        <v>1.567</v>
      </c>
      <c r="I83" s="63">
        <f>(F83-J83)/(TAN(PI()/180*H83))+N83</f>
        <v>29.98064028838976</v>
      </c>
      <c r="J83" s="15">
        <v>2.64</v>
      </c>
      <c r="K83" s="59">
        <v>3</v>
      </c>
      <c r="L83" s="64">
        <f>(F83-M83)/TAN(PI()/180*H83)+N83</f>
        <v>46.06478647325778</v>
      </c>
      <c r="M83" s="15">
        <v>2.2</v>
      </c>
      <c r="N83" s="62">
        <f>E83-(F83-2.515)/TAN(PI()/180*H83)</f>
        <v>27.97012201528127</v>
      </c>
    </row>
    <row r="84" spans="1:14" ht="12.75">
      <c r="A84" s="32" t="s">
        <v>190</v>
      </c>
      <c r="B84" s="32" t="s">
        <v>170</v>
      </c>
      <c r="C84" s="32" t="s">
        <v>171</v>
      </c>
      <c r="D84" s="60">
        <v>0.75</v>
      </c>
      <c r="E84" s="38">
        <v>34.55</v>
      </c>
      <c r="F84" s="38">
        <v>2.705</v>
      </c>
      <c r="G84" s="62">
        <f>I84-(F84-J84)/TAN(PI()/180*D84)</f>
        <v>25.015289683165925</v>
      </c>
      <c r="H84" s="55">
        <v>1.567</v>
      </c>
      <c r="I84" s="63">
        <f>(F84-J84)/(TAN(PI()/180*H84))+N84</f>
        <v>29.980640288389765</v>
      </c>
      <c r="J84" s="57">
        <v>2.64</v>
      </c>
      <c r="K84" s="59">
        <v>3</v>
      </c>
      <c r="L84" s="64">
        <f>(F84-M84)/TAN(PI()/180*H84)+N84</f>
        <v>46.06478647325778</v>
      </c>
      <c r="M84" s="57">
        <v>2.2</v>
      </c>
      <c r="N84" s="62">
        <f>E84-(F84-2.515)/TAN(PI()/180*H84)</f>
        <v>27.604573238352444</v>
      </c>
    </row>
    <row r="85" spans="1:14" ht="12.75">
      <c r="A85" s="32" t="s">
        <v>189</v>
      </c>
      <c r="B85" s="32"/>
      <c r="C85" s="32"/>
      <c r="D85" s="60">
        <v>0.75</v>
      </c>
      <c r="E85" s="38">
        <v>34.55</v>
      </c>
      <c r="F85" s="38">
        <v>2.715</v>
      </c>
      <c r="G85" s="62">
        <f>I85-(F85-J85)/TAN(PI()/180*D85)</f>
        <v>24.251389590054583</v>
      </c>
      <c r="H85" s="55">
        <v>1.567</v>
      </c>
      <c r="I85" s="63">
        <f>(F85-J85)/(TAN(PI()/180*H85))+N85</f>
        <v>29.980640288389765</v>
      </c>
      <c r="J85" s="57">
        <v>2.64</v>
      </c>
      <c r="K85" s="59">
        <v>3</v>
      </c>
      <c r="L85" s="64">
        <f>(F85-M85)/TAN(PI()/180*H85)+N85</f>
        <v>46.06478647325778</v>
      </c>
      <c r="M85" s="57">
        <v>2.2</v>
      </c>
      <c r="N85" s="62">
        <f>E85-(F85-2.515)/TAN(PI()/180*H85)</f>
        <v>27.239024461423632</v>
      </c>
    </row>
    <row r="86" spans="1:13" ht="12.75">
      <c r="A86" s="52" t="s">
        <v>169</v>
      </c>
      <c r="B86" s="31"/>
      <c r="C86" s="31"/>
      <c r="D86" s="61"/>
      <c r="E86" s="42"/>
      <c r="F86" s="42"/>
      <c r="G86" s="42"/>
      <c r="H86" s="45"/>
      <c r="I86" s="42"/>
      <c r="J86" s="58"/>
      <c r="K86" s="61"/>
      <c r="L86" s="42"/>
      <c r="M86" s="58"/>
    </row>
    <row r="87" spans="1:14" ht="12.75">
      <c r="A87" s="32" t="s">
        <v>175</v>
      </c>
      <c r="B87" s="32"/>
      <c r="C87" s="32"/>
      <c r="D87" s="60">
        <v>1</v>
      </c>
      <c r="E87" s="38">
        <v>36.8</v>
      </c>
      <c r="F87" s="38">
        <v>2.705</v>
      </c>
      <c r="G87" s="62">
        <f>I87-(F87-J87)/TAN(PI()/180*D87)</f>
        <v>26.433284388602644</v>
      </c>
      <c r="H87" s="44">
        <v>1.567</v>
      </c>
      <c r="I87" s="63">
        <f>(F87-J87)/(TAN(PI()/180*H87))+N87</f>
        <v>35.88612805767795</v>
      </c>
      <c r="J87" s="57">
        <v>2.54</v>
      </c>
      <c r="K87" s="55">
        <v>1.567</v>
      </c>
      <c r="L87" s="64">
        <f>(F87-M87)/TAN(PI()/180*H87)+N87</f>
        <v>73.9032008582751</v>
      </c>
      <c r="M87" s="15">
        <v>1.5</v>
      </c>
      <c r="N87" s="62">
        <f>E87-(F87-2.515)/TAN(PI()/180*H87)</f>
        <v>29.854573238352444</v>
      </c>
    </row>
    <row r="88" spans="1:14" ht="12.75">
      <c r="A88" s="32" t="s">
        <v>176</v>
      </c>
      <c r="B88" s="32"/>
      <c r="C88" s="32"/>
      <c r="D88" s="60">
        <v>1</v>
      </c>
      <c r="E88" s="38">
        <v>36.8</v>
      </c>
      <c r="F88" s="38">
        <v>2.715</v>
      </c>
      <c r="G88" s="62">
        <f>I88-(F88-J88)/TAN(PI()/180*D88)</f>
        <v>25.860384772295063</v>
      </c>
      <c r="H88" s="55">
        <v>1.567</v>
      </c>
      <c r="I88" s="63">
        <f>(F88-J88)/(TAN(PI()/180*H88))+N88</f>
        <v>35.88612805767795</v>
      </c>
      <c r="J88" s="57">
        <v>2.54</v>
      </c>
      <c r="K88" s="55">
        <v>1.567</v>
      </c>
      <c r="L88" s="64">
        <f>(F88-M88)/TAN(PI()/180*H88)+N88</f>
        <v>73.9032008582751</v>
      </c>
      <c r="M88" s="15">
        <v>1.5</v>
      </c>
      <c r="N88" s="62">
        <f>E88-(F88-2.515)/TAN(PI()/180*H88)</f>
        <v>29.489024461423632</v>
      </c>
    </row>
    <row r="89" spans="1:14" ht="12.75">
      <c r="A89" s="32" t="s">
        <v>177</v>
      </c>
      <c r="B89" s="32" t="s">
        <v>170</v>
      </c>
      <c r="C89" s="32" t="s">
        <v>172</v>
      </c>
      <c r="D89" s="60">
        <v>1</v>
      </c>
      <c r="E89" s="38">
        <v>36.8</v>
      </c>
      <c r="F89" s="38">
        <v>2.725</v>
      </c>
      <c r="G89" s="62">
        <f>I89-(F89-J89)/TAN(PI()/180*D89)</f>
        <v>25.287485155987454</v>
      </c>
      <c r="H89" s="55">
        <v>1.567</v>
      </c>
      <c r="I89" s="63">
        <f>(F89-J89)/(TAN(PI()/180*H89))+N89</f>
        <v>35.88612805767795</v>
      </c>
      <c r="J89" s="57">
        <v>2.54</v>
      </c>
      <c r="K89" s="55">
        <v>1.567</v>
      </c>
      <c r="L89" s="64">
        <f>(F89-M89)/TAN(PI()/180*H89)+N89</f>
        <v>73.9032008582751</v>
      </c>
      <c r="M89" s="15">
        <v>1.5</v>
      </c>
      <c r="N89" s="62">
        <f>E89-(F89-2.515)/TAN(PI()/180*H89)</f>
        <v>29.123475684494807</v>
      </c>
    </row>
    <row r="90" spans="1:14" ht="12" customHeight="1">
      <c r="A90" s="32" t="s">
        <v>236</v>
      </c>
      <c r="B90" s="32"/>
      <c r="C90" s="32"/>
      <c r="D90" s="60">
        <v>1</v>
      </c>
      <c r="E90" s="38">
        <v>36.8</v>
      </c>
      <c r="F90" s="38">
        <v>2.735</v>
      </c>
      <c r="G90" s="62">
        <f>I90-(F90-J90)/TAN(PI()/180*D90)</f>
        <v>24.714585539679874</v>
      </c>
      <c r="H90" s="55">
        <v>1.567</v>
      </c>
      <c r="I90" s="63">
        <f>(F90-J90)/(TAN(PI()/180*H90))+N90</f>
        <v>35.88612805767795</v>
      </c>
      <c r="J90" s="57">
        <v>2.54</v>
      </c>
      <c r="K90" s="55">
        <v>1.567</v>
      </c>
      <c r="L90" s="64">
        <f>(F90-M90)/TAN(PI()/180*H90)+N90</f>
        <v>73.9032008582751</v>
      </c>
      <c r="M90" s="15">
        <v>1.5</v>
      </c>
      <c r="N90" s="62">
        <f>E90-(F90-2.515)/TAN(PI()/180*H90)</f>
        <v>28.757926907565995</v>
      </c>
    </row>
    <row r="91" spans="1:13" ht="13.5" customHeight="1">
      <c r="A91" s="52" t="s">
        <v>235</v>
      </c>
      <c r="B91" s="31"/>
      <c r="C91" s="31"/>
      <c r="D91" s="61"/>
      <c r="E91" s="42"/>
      <c r="F91" s="42"/>
      <c r="G91" s="42"/>
      <c r="H91" s="45"/>
      <c r="I91" s="42"/>
      <c r="J91" s="58"/>
      <c r="K91" s="61"/>
      <c r="L91" s="42"/>
      <c r="M91" s="58"/>
    </row>
    <row r="92" spans="1:14" ht="12.75">
      <c r="A92" s="32" t="s">
        <v>230</v>
      </c>
      <c r="B92" s="32"/>
      <c r="C92" s="32"/>
      <c r="D92" s="60">
        <v>0.75</v>
      </c>
      <c r="E92" s="38">
        <v>35.9</v>
      </c>
      <c r="F92" s="38">
        <v>2.685</v>
      </c>
      <c r="G92" s="62">
        <f>I92-(F92-J92)/TAN(PI()/180*D92)</f>
        <v>27.893089869388646</v>
      </c>
      <c r="H92" s="44">
        <v>1.567</v>
      </c>
      <c r="I92" s="63">
        <f>(F92-J92)/(TAN(PI()/180*H92))+N92</f>
        <v>31.330640288389763</v>
      </c>
      <c r="J92" s="15">
        <v>2.64</v>
      </c>
      <c r="K92" s="59">
        <v>3</v>
      </c>
      <c r="L92" s="64">
        <f>(F92-M92)/TAN(PI()/180*H92)+N92</f>
        <v>47.414786473257784</v>
      </c>
      <c r="M92" s="15">
        <v>2.2</v>
      </c>
      <c r="N92" s="62">
        <f>E92-(F92-2.515)/TAN(PI()/180*H92)</f>
        <v>29.685670792210082</v>
      </c>
    </row>
    <row r="93" spans="1:14" ht="12.75">
      <c r="A93" s="32" t="s">
        <v>231</v>
      </c>
      <c r="B93" s="32" t="s">
        <v>234</v>
      </c>
      <c r="C93" s="32" t="s">
        <v>171</v>
      </c>
      <c r="D93" s="60">
        <v>0.75</v>
      </c>
      <c r="E93" s="38">
        <v>35.9</v>
      </c>
      <c r="F93" s="38">
        <v>2.695</v>
      </c>
      <c r="G93" s="62">
        <f>I93-(F93-J93)/TAN(PI()/180*D93)</f>
        <v>27.1291897762773</v>
      </c>
      <c r="H93" s="55">
        <v>1.567</v>
      </c>
      <c r="I93" s="63">
        <f>(F93-J93)/(TAN(PI()/180*H93))+N93</f>
        <v>31.330640288389763</v>
      </c>
      <c r="J93" s="15">
        <v>2.64</v>
      </c>
      <c r="K93" s="59">
        <v>3</v>
      </c>
      <c r="L93" s="64">
        <f>(F93-M93)/TAN(PI()/180*H93)+N93</f>
        <v>47.414786473257784</v>
      </c>
      <c r="M93" s="15">
        <v>2.2</v>
      </c>
      <c r="N93" s="62">
        <f>E93-(F93-2.515)/TAN(PI()/180*H93)</f>
        <v>29.32012201528127</v>
      </c>
    </row>
    <row r="94" spans="1:14" ht="12.75">
      <c r="A94" s="32" t="s">
        <v>232</v>
      </c>
      <c r="B94" s="32"/>
      <c r="C94" s="32"/>
      <c r="D94" s="60">
        <v>0.75</v>
      </c>
      <c r="E94" s="38">
        <v>35.9</v>
      </c>
      <c r="F94" s="38">
        <v>2.705</v>
      </c>
      <c r="G94" s="62">
        <f>I94-(F94-J94)/TAN(PI()/180*D94)</f>
        <v>26.365289683165926</v>
      </c>
      <c r="H94" s="55">
        <v>1.567</v>
      </c>
      <c r="I94" s="63">
        <f>(F94-J94)/(TAN(PI()/180*H94))+N94</f>
        <v>31.330640288389766</v>
      </c>
      <c r="J94" s="57">
        <v>2.64</v>
      </c>
      <c r="K94" s="59">
        <v>3</v>
      </c>
      <c r="L94" s="64">
        <f>(F94-M94)/TAN(PI()/180*H94)+N94</f>
        <v>47.414786473257784</v>
      </c>
      <c r="M94" s="57">
        <v>2.2</v>
      </c>
      <c r="N94" s="62">
        <f>E94-(F94-2.515)/TAN(PI()/180*H94)</f>
        <v>28.954573238352445</v>
      </c>
    </row>
    <row r="95" spans="1:14" ht="12.75">
      <c r="A95" s="32" t="s">
        <v>233</v>
      </c>
      <c r="B95" s="32"/>
      <c r="C95" s="32"/>
      <c r="D95" s="60">
        <v>0.75</v>
      </c>
      <c r="E95" s="38">
        <v>35.9</v>
      </c>
      <c r="F95" s="38">
        <v>2.715</v>
      </c>
      <c r="G95" s="62">
        <f>I95-(F95-J95)/TAN(PI()/180*D95)</f>
        <v>25.601389590054584</v>
      </c>
      <c r="H95" s="55">
        <v>1.567</v>
      </c>
      <c r="I95" s="63">
        <f>(F95-J95)/(TAN(PI()/180*H95))+N95</f>
        <v>31.330640288389766</v>
      </c>
      <c r="J95" s="57">
        <v>2.64</v>
      </c>
      <c r="K95" s="59">
        <v>3</v>
      </c>
      <c r="L95" s="64">
        <f>(F95-M95)/TAN(PI()/180*H95)+N95</f>
        <v>47.414786473257784</v>
      </c>
      <c r="M95" s="57">
        <v>2.2</v>
      </c>
      <c r="N95" s="62">
        <f>E95-(F95-2.515)/TAN(PI()/180*H95)</f>
        <v>28.589024461423634</v>
      </c>
    </row>
    <row r="96" spans="1:13" ht="13.5" customHeight="1">
      <c r="A96" s="52" t="s">
        <v>84</v>
      </c>
      <c r="B96" s="31"/>
      <c r="C96" s="31"/>
      <c r="D96" s="61"/>
      <c r="E96" s="42"/>
      <c r="F96" s="42"/>
      <c r="G96" s="42"/>
      <c r="H96" s="45"/>
      <c r="I96" s="42"/>
      <c r="J96" s="58"/>
      <c r="K96" s="61"/>
      <c r="L96" s="42"/>
      <c r="M96" s="58"/>
    </row>
    <row r="97" spans="1:14" ht="12.75">
      <c r="A97" s="32" t="s">
        <v>270</v>
      </c>
      <c r="B97" s="32" t="s">
        <v>170</v>
      </c>
      <c r="C97" s="32" t="s">
        <v>269</v>
      </c>
      <c r="D97" s="60">
        <v>0.5</v>
      </c>
      <c r="E97" s="56">
        <v>37.25</v>
      </c>
      <c r="F97" s="38">
        <v>2.74</v>
      </c>
      <c r="G97" s="62">
        <f>I97-(F97-J97)/TAN(PI()/180*D97)</f>
        <v>20.06246609025846</v>
      </c>
      <c r="H97" s="55">
        <v>1.25</v>
      </c>
      <c r="I97" s="63">
        <f>(F97-J97)/(TAN(PI()/180*H97))+N97</f>
        <v>31.521331103189432</v>
      </c>
      <c r="J97" s="57">
        <v>2.64</v>
      </c>
      <c r="K97" s="55">
        <v>2</v>
      </c>
      <c r="L97" s="64">
        <f>(F97-M97)/TAN(PI()/180*H97)+N97</f>
        <v>41.14549484983119</v>
      </c>
      <c r="M97" s="1">
        <v>2.43</v>
      </c>
      <c r="N97" s="62">
        <f>E97-(F97-2.515)/TAN(PI()/180*H97)</f>
        <v>26.938395985740975</v>
      </c>
    </row>
    <row r="98" spans="1:14" ht="12.75">
      <c r="A98" s="32" t="s">
        <v>229</v>
      </c>
      <c r="B98" s="32"/>
      <c r="C98" s="32"/>
      <c r="D98" s="59">
        <v>0.5</v>
      </c>
      <c r="E98" s="38">
        <v>36.35</v>
      </c>
      <c r="F98" s="38">
        <v>2.685</v>
      </c>
      <c r="G98" s="62">
        <f aca="true" t="shared" si="5" ref="G98:G103">I98-(F98-J98)/TAN(PI()/180*D98)</f>
        <v>26.624151032570843</v>
      </c>
      <c r="H98" s="44">
        <v>1.567</v>
      </c>
      <c r="I98" s="63">
        <f aca="true" t="shared" si="6" ref="I98:I103">(F98-J98)/(TAN(PI()/180*H98))+N98</f>
        <v>31.780640288389765</v>
      </c>
      <c r="J98" s="15">
        <v>2.64</v>
      </c>
      <c r="K98" s="59">
        <v>3</v>
      </c>
      <c r="L98" s="64">
        <f aca="true" t="shared" si="7" ref="L98:L103">(F98-M98)/TAN(PI()/180*H98)+N98</f>
        <v>47.86478647325779</v>
      </c>
      <c r="M98" s="15">
        <v>2.2</v>
      </c>
      <c r="N98" s="62">
        <f aca="true" t="shared" si="8" ref="N98:N103">E98-(F98-2.515)/TAN(PI()/180*H98)</f>
        <v>30.135670792210085</v>
      </c>
    </row>
    <row r="99" spans="1:14" ht="12.75">
      <c r="A99" s="32" t="s">
        <v>110</v>
      </c>
      <c r="B99" s="32" t="s">
        <v>170</v>
      </c>
      <c r="C99" s="32" t="s">
        <v>181</v>
      </c>
      <c r="D99" s="59">
        <v>0.5</v>
      </c>
      <c r="E99" s="38">
        <v>36.35</v>
      </c>
      <c r="F99" s="38">
        <v>2.695</v>
      </c>
      <c r="G99" s="62">
        <f t="shared" si="5"/>
        <v>25.47826453127777</v>
      </c>
      <c r="H99" s="44">
        <v>1.567</v>
      </c>
      <c r="I99" s="63">
        <f t="shared" si="6"/>
        <v>31.780640288389765</v>
      </c>
      <c r="J99" s="15">
        <v>2.64</v>
      </c>
      <c r="K99" s="59">
        <v>3</v>
      </c>
      <c r="L99" s="64">
        <f t="shared" si="7"/>
        <v>47.86478647325779</v>
      </c>
      <c r="M99" s="15">
        <v>2.2</v>
      </c>
      <c r="N99" s="62">
        <f t="shared" si="8"/>
        <v>29.770122015281274</v>
      </c>
    </row>
    <row r="100" spans="1:14" ht="12.75">
      <c r="A100" s="32" t="s">
        <v>54</v>
      </c>
      <c r="B100" s="32"/>
      <c r="C100" s="32"/>
      <c r="D100" s="59">
        <v>0.5</v>
      </c>
      <c r="E100" s="38">
        <v>36.35</v>
      </c>
      <c r="F100" s="38">
        <v>2.705</v>
      </c>
      <c r="G100" s="62">
        <f t="shared" si="5"/>
        <v>24.33237802998465</v>
      </c>
      <c r="H100" s="44">
        <v>1.567</v>
      </c>
      <c r="I100" s="63">
        <f t="shared" si="6"/>
        <v>31.78064028838977</v>
      </c>
      <c r="J100" s="15">
        <v>2.64</v>
      </c>
      <c r="K100" s="59">
        <v>3</v>
      </c>
      <c r="L100" s="64">
        <f t="shared" si="7"/>
        <v>47.86478647325779</v>
      </c>
      <c r="M100" s="15">
        <v>2.2</v>
      </c>
      <c r="N100" s="62">
        <f t="shared" si="8"/>
        <v>29.404573238352448</v>
      </c>
    </row>
    <row r="101" spans="1:14" ht="12.75">
      <c r="A101" s="32" t="s">
        <v>55</v>
      </c>
      <c r="B101" s="32"/>
      <c r="C101" s="32"/>
      <c r="D101" s="60">
        <v>0.5</v>
      </c>
      <c r="E101" s="56">
        <v>36.35</v>
      </c>
      <c r="F101" s="38">
        <v>2.715</v>
      </c>
      <c r="G101" s="62">
        <f t="shared" si="5"/>
        <v>23.18649152869158</v>
      </c>
      <c r="H101" s="55">
        <v>1.567</v>
      </c>
      <c r="I101" s="63">
        <f t="shared" si="6"/>
        <v>31.78064028838977</v>
      </c>
      <c r="J101" s="57">
        <v>2.64</v>
      </c>
      <c r="K101" s="60">
        <v>3</v>
      </c>
      <c r="L101" s="64">
        <f t="shared" si="7"/>
        <v>47.86478647325779</v>
      </c>
      <c r="M101" s="57">
        <v>2.2</v>
      </c>
      <c r="N101" s="62">
        <f t="shared" si="8"/>
        <v>29.039024461423637</v>
      </c>
    </row>
    <row r="102" spans="1:14" ht="12.75">
      <c r="A102" s="32" t="s">
        <v>56</v>
      </c>
      <c r="B102" s="32"/>
      <c r="C102" s="32"/>
      <c r="D102" s="60">
        <v>0.5</v>
      </c>
      <c r="E102" s="56">
        <v>36.35</v>
      </c>
      <c r="F102" s="38">
        <v>2.725</v>
      </c>
      <c r="G102" s="62">
        <f t="shared" si="5"/>
        <v>22.040605027398456</v>
      </c>
      <c r="H102" s="55">
        <v>1.567</v>
      </c>
      <c r="I102" s="63">
        <f t="shared" si="6"/>
        <v>31.78064028838977</v>
      </c>
      <c r="J102" s="57">
        <v>2.64</v>
      </c>
      <c r="K102" s="60">
        <v>3</v>
      </c>
      <c r="L102" s="64">
        <f t="shared" si="7"/>
        <v>47.86478647325779</v>
      </c>
      <c r="M102" s="57">
        <v>2.2</v>
      </c>
      <c r="N102" s="62">
        <f t="shared" si="8"/>
        <v>28.67347568449481</v>
      </c>
    </row>
    <row r="103" spans="1:14" ht="12.75">
      <c r="A103" s="32" t="s">
        <v>65</v>
      </c>
      <c r="B103" s="32"/>
      <c r="C103" s="32"/>
      <c r="D103" s="60">
        <v>0.5</v>
      </c>
      <c r="E103" s="56">
        <v>36.35</v>
      </c>
      <c r="F103" s="38">
        <v>2.735</v>
      </c>
      <c r="G103" s="62">
        <f t="shared" si="5"/>
        <v>20.894718526105386</v>
      </c>
      <c r="H103" s="55">
        <v>1.567</v>
      </c>
      <c r="I103" s="63">
        <f t="shared" si="6"/>
        <v>31.78064028838977</v>
      </c>
      <c r="J103" s="57">
        <v>2.64</v>
      </c>
      <c r="K103" s="60">
        <v>3</v>
      </c>
      <c r="L103" s="64">
        <f t="shared" si="7"/>
        <v>47.86478647325779</v>
      </c>
      <c r="M103" s="57">
        <v>2.2</v>
      </c>
      <c r="N103" s="62">
        <f t="shared" si="8"/>
        <v>28.307926907566</v>
      </c>
    </row>
    <row r="104" spans="1:14" ht="12.75">
      <c r="A104" s="32" t="s">
        <v>254</v>
      </c>
      <c r="B104" s="98" t="s">
        <v>263</v>
      </c>
      <c r="C104" s="32"/>
      <c r="D104" s="60">
        <v>0.75</v>
      </c>
      <c r="E104" s="56">
        <v>36.35</v>
      </c>
      <c r="F104" s="38">
        <v>2.685</v>
      </c>
      <c r="G104" s="62">
        <f aca="true" t="shared" si="9" ref="G104:G110">I104-(F104-J104)/TAN(PI()/180*D104)</f>
        <v>27.546387237023566</v>
      </c>
      <c r="H104" s="55">
        <v>1.567</v>
      </c>
      <c r="I104" s="63">
        <f aca="true" t="shared" si="10" ref="I104:I110">(F104-J104)/(TAN(PI()/180*H104))+N104</f>
        <v>32.511737842247406</v>
      </c>
      <c r="J104" s="57">
        <v>2.62</v>
      </c>
      <c r="K104" s="55">
        <v>1.567</v>
      </c>
      <c r="L104" s="64">
        <f aca="true" t="shared" si="11" ref="L104:L110">(F104-M104)/TAN(PI()/180*H104)+N104</f>
        <v>73.4532008582751</v>
      </c>
      <c r="M104" s="15">
        <v>1.5</v>
      </c>
      <c r="N104" s="62">
        <f aca="true" t="shared" si="12" ref="N104:N110">E104-(F104-2.515)/TAN(PI()/180*H104)</f>
        <v>30.135670792210085</v>
      </c>
    </row>
    <row r="105" spans="1:14" ht="12.75">
      <c r="A105" s="32" t="s">
        <v>255</v>
      </c>
      <c r="B105" s="98" t="s">
        <v>260</v>
      </c>
      <c r="C105" s="32"/>
      <c r="D105" s="60">
        <v>0.75</v>
      </c>
      <c r="E105" s="56">
        <v>36.35</v>
      </c>
      <c r="F105" s="38">
        <v>2.695</v>
      </c>
      <c r="G105" s="62">
        <f t="shared" si="9"/>
        <v>26.782487143912224</v>
      </c>
      <c r="H105" s="55">
        <v>1.567</v>
      </c>
      <c r="I105" s="63">
        <f t="shared" si="10"/>
        <v>32.511737842247406</v>
      </c>
      <c r="J105" s="57">
        <v>2.62</v>
      </c>
      <c r="K105" s="55">
        <v>1.567</v>
      </c>
      <c r="L105" s="64">
        <f t="shared" si="11"/>
        <v>73.4532008582751</v>
      </c>
      <c r="M105" s="15">
        <v>1.5</v>
      </c>
      <c r="N105" s="62">
        <f t="shared" si="12"/>
        <v>29.770122015281274</v>
      </c>
    </row>
    <row r="106" spans="1:14" ht="12.75">
      <c r="A106" s="32" t="s">
        <v>256</v>
      </c>
      <c r="B106" s="98" t="s">
        <v>261</v>
      </c>
      <c r="C106" s="32"/>
      <c r="D106" s="60">
        <v>0.75</v>
      </c>
      <c r="E106" s="56">
        <v>36.35</v>
      </c>
      <c r="F106" s="38">
        <v>2.705</v>
      </c>
      <c r="G106" s="62">
        <f t="shared" si="9"/>
        <v>26.018587050800846</v>
      </c>
      <c r="H106" s="55">
        <v>1.567</v>
      </c>
      <c r="I106" s="63">
        <f t="shared" si="10"/>
        <v>32.511737842247406</v>
      </c>
      <c r="J106" s="57">
        <v>2.62</v>
      </c>
      <c r="K106" s="55">
        <v>1.567</v>
      </c>
      <c r="L106" s="64">
        <f t="shared" si="11"/>
        <v>73.4532008582751</v>
      </c>
      <c r="M106" s="15">
        <v>1.5</v>
      </c>
      <c r="N106" s="62">
        <f t="shared" si="12"/>
        <v>29.404573238352448</v>
      </c>
    </row>
    <row r="107" spans="1:14" ht="12.75">
      <c r="A107" s="32" t="s">
        <v>257</v>
      </c>
      <c r="B107" s="98" t="s">
        <v>262</v>
      </c>
      <c r="C107" s="32"/>
      <c r="D107" s="60">
        <v>0.75</v>
      </c>
      <c r="E107" s="56">
        <v>36.35</v>
      </c>
      <c r="F107" s="38">
        <v>2.715</v>
      </c>
      <c r="G107" s="62">
        <f t="shared" si="9"/>
        <v>25.2546869576895</v>
      </c>
      <c r="H107" s="55">
        <v>1.567</v>
      </c>
      <c r="I107" s="63">
        <f t="shared" si="10"/>
        <v>32.511737842247406</v>
      </c>
      <c r="J107" s="57">
        <v>2.62</v>
      </c>
      <c r="K107" s="55">
        <v>1.567</v>
      </c>
      <c r="L107" s="64">
        <f t="shared" si="11"/>
        <v>73.4532008582751</v>
      </c>
      <c r="M107" s="15">
        <v>1.5</v>
      </c>
      <c r="N107" s="62">
        <f t="shared" si="12"/>
        <v>29.039024461423637</v>
      </c>
    </row>
    <row r="108" spans="1:14" ht="12.75">
      <c r="A108" s="32" t="s">
        <v>258</v>
      </c>
      <c r="B108" s="32"/>
      <c r="C108" s="32"/>
      <c r="D108" s="60">
        <v>1</v>
      </c>
      <c r="E108" s="38">
        <v>38.15</v>
      </c>
      <c r="F108" s="38">
        <v>2.685</v>
      </c>
      <c r="G108" s="62">
        <f>I108-(F108-J108)/TAN(PI()/180*D108)</f>
        <v>30.173188657490492</v>
      </c>
      <c r="H108" s="55">
        <v>1.567</v>
      </c>
      <c r="I108" s="63">
        <f>(F108-J108)/(TAN(PI()/180*H108))+N108</f>
        <v>35.04283539610504</v>
      </c>
      <c r="J108">
        <v>2.6</v>
      </c>
      <c r="K108" s="55">
        <v>2.25</v>
      </c>
      <c r="L108" s="64">
        <f>(F108-M108)/TAN(PI()/180*H108)+N108</f>
        <v>44.181554819325505</v>
      </c>
      <c r="M108" s="1">
        <v>2.35</v>
      </c>
      <c r="N108" s="62">
        <f>E108-(F108-2.515)/TAN(PI()/180*H108)</f>
        <v>31.935670792210082</v>
      </c>
    </row>
    <row r="109" spans="1:14" ht="12.75">
      <c r="A109" s="32" t="s">
        <v>259</v>
      </c>
      <c r="B109" s="32"/>
      <c r="C109" s="32"/>
      <c r="D109" s="60">
        <v>1</v>
      </c>
      <c r="E109" s="38">
        <v>38.15</v>
      </c>
      <c r="F109" s="38">
        <v>2.695</v>
      </c>
      <c r="G109" s="62">
        <f t="shared" si="9"/>
        <v>29.60028904118291</v>
      </c>
      <c r="H109" s="55">
        <v>1.567</v>
      </c>
      <c r="I109" s="63">
        <f t="shared" si="10"/>
        <v>35.04283539610504</v>
      </c>
      <c r="J109">
        <v>2.6</v>
      </c>
      <c r="K109" s="55">
        <v>2.25</v>
      </c>
      <c r="L109" s="64">
        <f t="shared" si="11"/>
        <v>44.181554819325505</v>
      </c>
      <c r="M109" s="1">
        <v>2.35</v>
      </c>
      <c r="N109" s="62">
        <f t="shared" si="12"/>
        <v>31.57012201528127</v>
      </c>
    </row>
    <row r="110" spans="1:14" ht="12.75">
      <c r="A110" s="32" t="s">
        <v>186</v>
      </c>
      <c r="B110" s="32"/>
      <c r="C110" s="32"/>
      <c r="D110" s="60">
        <v>1</v>
      </c>
      <c r="E110" s="38">
        <v>38.15</v>
      </c>
      <c r="F110" s="38">
        <v>2.705</v>
      </c>
      <c r="G110" s="62">
        <f t="shared" si="9"/>
        <v>29.027389424875302</v>
      </c>
      <c r="H110" s="55">
        <v>1.567</v>
      </c>
      <c r="I110" s="63">
        <f t="shared" si="10"/>
        <v>35.04283539610504</v>
      </c>
      <c r="J110">
        <v>2.6</v>
      </c>
      <c r="K110" s="55">
        <v>2.25</v>
      </c>
      <c r="L110" s="64">
        <f t="shared" si="11"/>
        <v>44.181554819325505</v>
      </c>
      <c r="M110" s="1">
        <v>2.35</v>
      </c>
      <c r="N110" s="62">
        <f t="shared" si="12"/>
        <v>31.204573238352445</v>
      </c>
    </row>
  </sheetData>
  <sheetProtection password="87AF" sheet="1" objects="1" scenarios="1"/>
  <mergeCells count="1">
    <mergeCell ref="B1:C1"/>
  </mergeCells>
  <printOptions headings="1"/>
  <pageMargins left="0.75" right="0.75" top="1" bottom="1" header="0.5" footer="0.5"/>
  <pageSetup fitToHeight="1" fitToWidth="1" horizontalDpi="600" verticalDpi="600" orientation="portrait" scale="47" r:id="rId1"/>
  <headerFooter alignWithMargins="0">
    <oddFooter>&amp;C&amp;F&amp;R&amp;D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62"/>
  <sheetViews>
    <sheetView zoomScale="75" zoomScaleNormal="75" workbookViewId="0" topLeftCell="A1">
      <selection activeCell="Q53" sqref="Q53"/>
    </sheetView>
  </sheetViews>
  <sheetFormatPr defaultColWidth="11.421875" defaultRowHeight="12.75"/>
  <cols>
    <col min="1" max="1" width="18.140625" style="1" customWidth="1"/>
    <col min="2" max="3" width="5.7109375" style="0" customWidth="1"/>
    <col min="4" max="11" width="8.7109375" style="0" customWidth="1"/>
    <col min="12" max="16384" width="9.140625" style="0" customWidth="1"/>
  </cols>
  <sheetData>
    <row r="1" spans="1:12" ht="12.75">
      <c r="A1" s="43" t="s">
        <v>87</v>
      </c>
      <c r="B1" s="158" t="s">
        <v>20</v>
      </c>
      <c r="C1" s="158"/>
      <c r="D1" s="50" t="s">
        <v>20</v>
      </c>
      <c r="E1" s="43" t="s">
        <v>2</v>
      </c>
      <c r="F1" s="43" t="s">
        <v>100</v>
      </c>
      <c r="G1" s="43" t="s">
        <v>42</v>
      </c>
      <c r="H1" s="16"/>
      <c r="I1" s="16"/>
      <c r="J1" s="16"/>
      <c r="K1" s="16"/>
      <c r="L1" s="16"/>
    </row>
    <row r="2" spans="1:12" s="1" customFormat="1" ht="12.75">
      <c r="A2" s="159" t="s">
        <v>114</v>
      </c>
      <c r="B2" s="43" t="s">
        <v>1</v>
      </c>
      <c r="C2" s="43" t="s">
        <v>80</v>
      </c>
      <c r="D2" s="43" t="s">
        <v>1</v>
      </c>
      <c r="E2" s="43" t="s">
        <v>5</v>
      </c>
      <c r="F2" s="43" t="s">
        <v>5</v>
      </c>
      <c r="G2" s="43" t="s">
        <v>5</v>
      </c>
      <c r="H2" s="7"/>
      <c r="I2" s="7"/>
      <c r="J2" s="7"/>
      <c r="K2" s="7"/>
      <c r="L2" s="7"/>
    </row>
    <row r="3" spans="1:12" s="1" customFormat="1" ht="12.75">
      <c r="A3" s="159"/>
      <c r="B3" s="9"/>
      <c r="C3" s="9"/>
      <c r="D3" s="9"/>
      <c r="E3" s="9"/>
      <c r="F3" s="9"/>
      <c r="G3" s="9"/>
      <c r="H3" s="7"/>
      <c r="I3" s="7"/>
      <c r="J3" s="7"/>
      <c r="K3" s="7"/>
      <c r="L3" s="7"/>
    </row>
    <row r="4" spans="1:12" ht="12.75">
      <c r="A4" s="7" t="s">
        <v>0</v>
      </c>
      <c r="B4" s="7" t="s">
        <v>44</v>
      </c>
      <c r="C4" s="40" t="s">
        <v>44</v>
      </c>
      <c r="D4" s="41" t="s">
        <v>44</v>
      </c>
      <c r="E4" s="15">
        <v>74.2</v>
      </c>
      <c r="F4" s="15">
        <f>E4-2</f>
        <v>72.2</v>
      </c>
      <c r="G4" s="7">
        <v>2.605</v>
      </c>
      <c r="H4" s="16"/>
      <c r="I4" s="16"/>
      <c r="J4" s="16"/>
      <c r="K4" s="16"/>
      <c r="L4" s="16"/>
    </row>
    <row r="5" spans="1:12" ht="12.75">
      <c r="A5" s="7" t="s">
        <v>21</v>
      </c>
      <c r="B5" s="7" t="s">
        <v>44</v>
      </c>
      <c r="C5" s="7" t="s">
        <v>44</v>
      </c>
      <c r="D5" s="41" t="s">
        <v>44</v>
      </c>
      <c r="E5" s="15">
        <f>E4+0.45</f>
        <v>74.65</v>
      </c>
      <c r="F5" s="15">
        <f aca="true" t="shared" si="0" ref="F5:F29">E5-2</f>
        <v>72.65</v>
      </c>
      <c r="G5" s="7">
        <f aca="true" t="shared" si="1" ref="G5:G11">G4+0.01</f>
        <v>2.6149999999999998</v>
      </c>
      <c r="H5" s="16"/>
      <c r="I5" s="16"/>
      <c r="J5" s="16"/>
      <c r="K5" s="16"/>
      <c r="L5" s="16"/>
    </row>
    <row r="6" spans="1:12" ht="12.75">
      <c r="A6" s="7" t="s">
        <v>22</v>
      </c>
      <c r="B6" s="7" t="s">
        <v>44</v>
      </c>
      <c r="C6" s="7" t="s">
        <v>44</v>
      </c>
      <c r="D6" s="41" t="s">
        <v>44</v>
      </c>
      <c r="E6" s="15">
        <f aca="true" t="shared" si="2" ref="E6:E11">E5+0.45</f>
        <v>75.10000000000001</v>
      </c>
      <c r="F6" s="15">
        <f t="shared" si="0"/>
        <v>73.10000000000001</v>
      </c>
      <c r="G6" s="7">
        <f t="shared" si="1"/>
        <v>2.6249999999999996</v>
      </c>
      <c r="H6" s="16"/>
      <c r="I6" s="16"/>
      <c r="J6" s="16"/>
      <c r="K6" s="16"/>
      <c r="L6" s="16"/>
    </row>
    <row r="7" spans="1:12" ht="12.75">
      <c r="A7" s="7" t="s">
        <v>3</v>
      </c>
      <c r="B7" s="7">
        <v>0</v>
      </c>
      <c r="C7" s="7">
        <v>45</v>
      </c>
      <c r="D7" s="41">
        <f>B7+C7/60</f>
        <v>0.75</v>
      </c>
      <c r="E7" s="15">
        <f t="shared" si="2"/>
        <v>75.55000000000001</v>
      </c>
      <c r="F7" s="15">
        <f t="shared" si="0"/>
        <v>73.55000000000001</v>
      </c>
      <c r="G7" s="7">
        <f t="shared" si="1"/>
        <v>2.6349999999999993</v>
      </c>
      <c r="H7" s="16"/>
      <c r="I7" s="16"/>
      <c r="J7" s="16"/>
      <c r="K7" s="16"/>
      <c r="L7" s="16"/>
    </row>
    <row r="8" spans="1:12" ht="12.75">
      <c r="A8" s="7" t="s">
        <v>8</v>
      </c>
      <c r="B8" s="7">
        <v>1</v>
      </c>
      <c r="C8" s="7">
        <v>0</v>
      </c>
      <c r="D8" s="41">
        <f>B8+C8/60</f>
        <v>1</v>
      </c>
      <c r="E8" s="15">
        <f t="shared" si="2"/>
        <v>76.00000000000001</v>
      </c>
      <c r="F8" s="15">
        <f t="shared" si="0"/>
        <v>74.00000000000001</v>
      </c>
      <c r="G8" s="7">
        <f t="shared" si="1"/>
        <v>2.644999999999999</v>
      </c>
      <c r="H8" s="16"/>
      <c r="I8" s="16"/>
      <c r="J8" s="16"/>
      <c r="K8" s="16"/>
      <c r="L8" s="16"/>
    </row>
    <row r="9" spans="1:12" ht="12.75">
      <c r="A9" s="7" t="s">
        <v>23</v>
      </c>
      <c r="B9" s="7">
        <v>1</v>
      </c>
      <c r="C9" s="7">
        <v>15</v>
      </c>
      <c r="D9" s="41">
        <f>B9+C9/60</f>
        <v>1.25</v>
      </c>
      <c r="E9" s="15">
        <f t="shared" si="2"/>
        <v>76.45000000000002</v>
      </c>
      <c r="F9" s="15">
        <f t="shared" si="0"/>
        <v>74.45000000000002</v>
      </c>
      <c r="G9" s="7">
        <f t="shared" si="1"/>
        <v>2.654999999999999</v>
      </c>
      <c r="H9" s="16"/>
      <c r="I9" s="16"/>
      <c r="J9" s="16"/>
      <c r="K9" s="16"/>
      <c r="L9" s="16"/>
    </row>
    <row r="10" spans="1:12" ht="12.75">
      <c r="A10" s="7" t="s">
        <v>24</v>
      </c>
      <c r="B10" s="7">
        <v>1</v>
      </c>
      <c r="C10" s="7">
        <v>30</v>
      </c>
      <c r="D10" s="41">
        <f>B10+C10/60</f>
        <v>1.5</v>
      </c>
      <c r="E10" s="15">
        <f t="shared" si="2"/>
        <v>76.90000000000002</v>
      </c>
      <c r="F10" s="15">
        <f t="shared" si="0"/>
        <v>74.90000000000002</v>
      </c>
      <c r="G10" s="7">
        <f t="shared" si="1"/>
        <v>2.6649999999999987</v>
      </c>
      <c r="H10" s="16"/>
      <c r="I10" s="16"/>
      <c r="J10" s="16"/>
      <c r="K10" s="16"/>
      <c r="L10" s="16"/>
    </row>
    <row r="11" spans="1:12" ht="12.75">
      <c r="A11" s="7" t="s">
        <v>25</v>
      </c>
      <c r="B11" s="7">
        <v>1</v>
      </c>
      <c r="C11" s="7">
        <v>45</v>
      </c>
      <c r="D11" s="41">
        <f>B11+C11/60</f>
        <v>1.75</v>
      </c>
      <c r="E11" s="15">
        <f t="shared" si="2"/>
        <v>77.35000000000002</v>
      </c>
      <c r="F11" s="15">
        <f t="shared" si="0"/>
        <v>75.35000000000002</v>
      </c>
      <c r="G11" s="7">
        <f t="shared" si="1"/>
        <v>2.6749999999999985</v>
      </c>
      <c r="H11" s="16"/>
      <c r="I11" s="16"/>
      <c r="J11" s="16"/>
      <c r="K11" s="16"/>
      <c r="L11" s="16"/>
    </row>
    <row r="12" spans="1:12" ht="12.75">
      <c r="A12" s="7" t="s">
        <v>26</v>
      </c>
      <c r="B12" s="7" t="s">
        <v>44</v>
      </c>
      <c r="C12" s="7" t="s">
        <v>44</v>
      </c>
      <c r="D12" s="41" t="s">
        <v>44</v>
      </c>
      <c r="E12" s="15" t="s">
        <v>44</v>
      </c>
      <c r="F12" s="15" t="s">
        <v>44</v>
      </c>
      <c r="G12" s="7" t="s">
        <v>44</v>
      </c>
      <c r="H12" s="16"/>
      <c r="I12" s="16"/>
      <c r="J12" s="16"/>
      <c r="K12" s="16"/>
      <c r="L12" s="16"/>
    </row>
    <row r="13" spans="1:12" ht="12.75">
      <c r="A13" s="7" t="s">
        <v>27</v>
      </c>
      <c r="B13" s="7">
        <v>2</v>
      </c>
      <c r="C13" s="7">
        <v>0</v>
      </c>
      <c r="D13" s="41">
        <f>B13+C13/60</f>
        <v>2</v>
      </c>
      <c r="E13" s="15">
        <v>77.8</v>
      </c>
      <c r="F13" s="15">
        <f t="shared" si="0"/>
        <v>75.8</v>
      </c>
      <c r="G13" s="7">
        <f>G11+0.01</f>
        <v>2.6849999999999983</v>
      </c>
      <c r="H13" s="16"/>
      <c r="I13" s="16"/>
      <c r="J13" s="16"/>
      <c r="K13" s="16"/>
      <c r="L13" s="16"/>
    </row>
    <row r="14" spans="1:12" ht="12.75">
      <c r="A14" s="7" t="s">
        <v>28</v>
      </c>
      <c r="B14" s="7">
        <v>2</v>
      </c>
      <c r="C14" s="7">
        <v>15</v>
      </c>
      <c r="D14" s="41">
        <f>B14+C14/60</f>
        <v>2.25</v>
      </c>
      <c r="E14" s="15">
        <f>E13+0.45</f>
        <v>78.25</v>
      </c>
      <c r="F14" s="15">
        <f t="shared" si="0"/>
        <v>76.25</v>
      </c>
      <c r="G14" s="7">
        <f>G13+0.01</f>
        <v>2.694999999999998</v>
      </c>
      <c r="H14" s="16"/>
      <c r="I14" s="16"/>
      <c r="J14" s="16"/>
      <c r="K14" s="16"/>
      <c r="L14" s="16"/>
    </row>
    <row r="15" spans="1:12" ht="12.75">
      <c r="A15" s="7" t="s">
        <v>11</v>
      </c>
      <c r="B15" s="7">
        <v>2</v>
      </c>
      <c r="C15" s="7">
        <v>30</v>
      </c>
      <c r="D15" s="41">
        <f>B15+C15/60</f>
        <v>2.5</v>
      </c>
      <c r="E15" s="15">
        <f>E14+0.45</f>
        <v>78.7</v>
      </c>
      <c r="F15" s="15">
        <f t="shared" si="0"/>
        <v>76.7</v>
      </c>
      <c r="G15" s="7">
        <f>G14+0.01</f>
        <v>2.704999999999998</v>
      </c>
      <c r="H15" s="16"/>
      <c r="I15" s="16"/>
      <c r="J15" s="16"/>
      <c r="K15" s="16"/>
      <c r="L15" s="16"/>
    </row>
    <row r="16" spans="1:12" ht="12.75">
      <c r="A16" s="7" t="s">
        <v>47</v>
      </c>
      <c r="B16" s="7">
        <v>2</v>
      </c>
      <c r="C16" s="7">
        <v>45</v>
      </c>
      <c r="D16" s="41">
        <f>B16+C16/60</f>
        <v>2.75</v>
      </c>
      <c r="E16" s="15">
        <f>E15+0.45</f>
        <v>79.15</v>
      </c>
      <c r="F16" s="15">
        <f t="shared" si="0"/>
        <v>77.15</v>
      </c>
      <c r="G16" s="7">
        <f>G15+0.01</f>
        <v>2.7149999999999976</v>
      </c>
      <c r="H16" s="16"/>
      <c r="I16" s="16"/>
      <c r="J16" s="16"/>
      <c r="K16" s="16"/>
      <c r="L16" s="16"/>
    </row>
    <row r="17" spans="1:12" ht="12.75">
      <c r="A17" s="7" t="s">
        <v>29</v>
      </c>
      <c r="B17" s="7">
        <v>3</v>
      </c>
      <c r="C17" s="7">
        <v>0</v>
      </c>
      <c r="D17" s="41">
        <f>B17+C17/60</f>
        <v>3</v>
      </c>
      <c r="E17" s="15">
        <f>E16+0.45</f>
        <v>79.60000000000001</v>
      </c>
      <c r="F17" s="15">
        <f t="shared" si="0"/>
        <v>77.60000000000001</v>
      </c>
      <c r="G17" s="7">
        <f>G16+0.01</f>
        <v>2.7249999999999974</v>
      </c>
      <c r="H17" s="16"/>
      <c r="I17" s="16"/>
      <c r="J17" s="16"/>
      <c r="K17" s="16"/>
      <c r="L17" s="16"/>
    </row>
    <row r="18" spans="1:12" ht="12.75">
      <c r="A18" s="7" t="s">
        <v>30</v>
      </c>
      <c r="B18" s="41" t="s">
        <v>44</v>
      </c>
      <c r="C18" s="41" t="s">
        <v>44</v>
      </c>
      <c r="D18" s="41" t="s">
        <v>44</v>
      </c>
      <c r="E18" s="15" t="s">
        <v>44</v>
      </c>
      <c r="F18" s="15" t="s">
        <v>44</v>
      </c>
      <c r="G18" s="7" t="s">
        <v>44</v>
      </c>
      <c r="H18" s="16"/>
      <c r="I18" s="16"/>
      <c r="J18" s="16"/>
      <c r="K18" s="16"/>
      <c r="L18" s="16"/>
    </row>
    <row r="19" spans="1:12" ht="12.75">
      <c r="A19" s="7" t="s">
        <v>31</v>
      </c>
      <c r="B19" s="33">
        <v>3</v>
      </c>
      <c r="C19" s="7">
        <v>15</v>
      </c>
      <c r="D19" s="41">
        <f>B19+C19/60</f>
        <v>3.25</v>
      </c>
      <c r="E19" s="15">
        <f>80.05</f>
        <v>80.05</v>
      </c>
      <c r="F19" s="15">
        <f t="shared" si="0"/>
        <v>78.05</v>
      </c>
      <c r="G19" s="7">
        <f>G17+0.01</f>
        <v>2.734999999999997</v>
      </c>
      <c r="H19" s="16"/>
      <c r="I19" s="16"/>
      <c r="J19" s="16"/>
      <c r="K19" s="16"/>
      <c r="L19" s="16"/>
    </row>
    <row r="20" spans="1:12" ht="12.75">
      <c r="A20" s="7" t="s">
        <v>32</v>
      </c>
      <c r="B20" s="33">
        <v>3</v>
      </c>
      <c r="C20" s="7">
        <v>30</v>
      </c>
      <c r="D20" s="41">
        <f aca="true" t="shared" si="3" ref="D20:D26">B20+C20/60</f>
        <v>3.5</v>
      </c>
      <c r="E20" s="15">
        <f aca="true" t="shared" si="4" ref="E20:E29">E19+0.45</f>
        <v>80.5</v>
      </c>
      <c r="F20" s="15">
        <f t="shared" si="0"/>
        <v>78.5</v>
      </c>
      <c r="G20" s="7">
        <f aca="true" t="shared" si="5" ref="G20:G28">G19+0.01</f>
        <v>2.744999999999997</v>
      </c>
      <c r="H20" s="16"/>
      <c r="I20" s="16"/>
      <c r="J20" s="16"/>
      <c r="K20" s="16"/>
      <c r="L20" s="16"/>
    </row>
    <row r="21" spans="1:12" ht="12.75">
      <c r="A21" s="7" t="s">
        <v>33</v>
      </c>
      <c r="B21" s="33">
        <v>3</v>
      </c>
      <c r="C21" s="7">
        <v>45</v>
      </c>
      <c r="D21" s="41">
        <f t="shared" si="3"/>
        <v>3.75</v>
      </c>
      <c r="E21" s="15">
        <f t="shared" si="4"/>
        <v>80.95</v>
      </c>
      <c r="F21" s="15">
        <f t="shared" si="0"/>
        <v>78.95</v>
      </c>
      <c r="G21" s="7">
        <f t="shared" si="5"/>
        <v>2.754999999999997</v>
      </c>
      <c r="H21" s="16"/>
      <c r="I21" s="16"/>
      <c r="J21" s="16"/>
      <c r="K21" s="16"/>
      <c r="L21" s="16"/>
    </row>
    <row r="22" spans="1:12" ht="12.75">
      <c r="A22" s="7" t="s">
        <v>34</v>
      </c>
      <c r="B22" s="33">
        <v>4</v>
      </c>
      <c r="C22" s="7">
        <v>0</v>
      </c>
      <c r="D22" s="41">
        <f t="shared" si="3"/>
        <v>4</v>
      </c>
      <c r="E22" s="15">
        <f t="shared" si="4"/>
        <v>81.4</v>
      </c>
      <c r="F22" s="15">
        <f t="shared" si="0"/>
        <v>79.4</v>
      </c>
      <c r="G22" s="7">
        <f t="shared" si="5"/>
        <v>2.7649999999999966</v>
      </c>
      <c r="H22" s="16"/>
      <c r="I22" s="16"/>
      <c r="J22" s="16"/>
      <c r="K22" s="16"/>
      <c r="L22" s="16"/>
    </row>
    <row r="23" spans="1:12" ht="12.75">
      <c r="A23" s="7" t="s">
        <v>35</v>
      </c>
      <c r="B23" s="33">
        <v>4</v>
      </c>
      <c r="C23" s="7">
        <v>15</v>
      </c>
      <c r="D23" s="41">
        <f t="shared" si="3"/>
        <v>4.25</v>
      </c>
      <c r="E23" s="15">
        <f t="shared" si="4"/>
        <v>81.85000000000001</v>
      </c>
      <c r="F23" s="15">
        <f t="shared" si="0"/>
        <v>79.85000000000001</v>
      </c>
      <c r="G23" s="7">
        <f t="shared" si="5"/>
        <v>2.7749999999999964</v>
      </c>
      <c r="H23" s="16"/>
      <c r="I23" s="16"/>
      <c r="J23" s="16"/>
      <c r="K23" s="16"/>
      <c r="L23" s="16"/>
    </row>
    <row r="24" spans="1:12" ht="12.75">
      <c r="A24" s="7" t="s">
        <v>36</v>
      </c>
      <c r="B24" s="33">
        <v>4</v>
      </c>
      <c r="C24" s="7">
        <v>30</v>
      </c>
      <c r="D24" s="41">
        <f t="shared" si="3"/>
        <v>4.5</v>
      </c>
      <c r="E24" s="15">
        <f t="shared" si="4"/>
        <v>82.30000000000001</v>
      </c>
      <c r="F24" s="15">
        <f t="shared" si="0"/>
        <v>80.30000000000001</v>
      </c>
      <c r="G24" s="7">
        <f t="shared" si="5"/>
        <v>2.784999999999996</v>
      </c>
      <c r="H24" s="16"/>
      <c r="I24" s="16"/>
      <c r="J24" s="16"/>
      <c r="K24" s="16"/>
      <c r="L24" s="16"/>
    </row>
    <row r="25" spans="1:12" ht="12.75">
      <c r="A25" s="7" t="s">
        <v>37</v>
      </c>
      <c r="B25" s="33">
        <v>4</v>
      </c>
      <c r="C25" s="7">
        <v>45</v>
      </c>
      <c r="D25" s="41">
        <f t="shared" si="3"/>
        <v>4.75</v>
      </c>
      <c r="E25" s="15">
        <f t="shared" si="4"/>
        <v>82.75000000000001</v>
      </c>
      <c r="F25" s="15">
        <f t="shared" si="0"/>
        <v>80.75000000000001</v>
      </c>
      <c r="G25" s="7">
        <f t="shared" si="5"/>
        <v>2.794999999999996</v>
      </c>
      <c r="H25" s="16"/>
      <c r="I25" s="16"/>
      <c r="J25" s="16"/>
      <c r="K25" s="16"/>
      <c r="L25" s="16"/>
    </row>
    <row r="26" spans="1:12" ht="12.75">
      <c r="A26" s="7" t="s">
        <v>38</v>
      </c>
      <c r="B26" s="33">
        <v>5</v>
      </c>
      <c r="C26" s="7">
        <v>0</v>
      </c>
      <c r="D26" s="41">
        <f t="shared" si="3"/>
        <v>5</v>
      </c>
      <c r="E26" s="15">
        <f t="shared" si="4"/>
        <v>83.20000000000002</v>
      </c>
      <c r="F26" s="15">
        <f t="shared" si="0"/>
        <v>81.20000000000002</v>
      </c>
      <c r="G26" s="7">
        <f t="shared" si="5"/>
        <v>2.8049999999999957</v>
      </c>
      <c r="H26" s="16"/>
      <c r="I26" s="16"/>
      <c r="J26" s="16"/>
      <c r="K26" s="16"/>
      <c r="L26" s="16"/>
    </row>
    <row r="27" spans="1:12" ht="12.75">
      <c r="A27" s="7" t="s">
        <v>39</v>
      </c>
      <c r="B27" s="33" t="s">
        <v>44</v>
      </c>
      <c r="C27" s="33" t="s">
        <v>44</v>
      </c>
      <c r="D27" s="33" t="s">
        <v>44</v>
      </c>
      <c r="E27" s="15">
        <f t="shared" si="4"/>
        <v>83.65000000000002</v>
      </c>
      <c r="F27" s="15">
        <f t="shared" si="0"/>
        <v>81.65000000000002</v>
      </c>
      <c r="G27" s="7">
        <f t="shared" si="5"/>
        <v>2.8149999999999955</v>
      </c>
      <c r="H27" s="16"/>
      <c r="I27" s="16"/>
      <c r="J27" s="16"/>
      <c r="K27" s="16"/>
      <c r="L27" s="16"/>
    </row>
    <row r="28" spans="1:12" ht="12.75">
      <c r="A28" s="7" t="s">
        <v>40</v>
      </c>
      <c r="B28" s="33" t="s">
        <v>44</v>
      </c>
      <c r="C28" s="33" t="s">
        <v>44</v>
      </c>
      <c r="D28" s="33" t="s">
        <v>44</v>
      </c>
      <c r="E28" s="15">
        <f t="shared" si="4"/>
        <v>84.10000000000002</v>
      </c>
      <c r="F28" s="15">
        <f t="shared" si="0"/>
        <v>82.10000000000002</v>
      </c>
      <c r="G28" s="7">
        <f t="shared" si="5"/>
        <v>2.8249999999999953</v>
      </c>
      <c r="H28" s="16"/>
      <c r="I28" s="16"/>
      <c r="J28" s="16"/>
      <c r="K28" s="16"/>
      <c r="L28" s="16"/>
    </row>
    <row r="29" spans="1:12" ht="12.75">
      <c r="A29" s="7" t="s">
        <v>41</v>
      </c>
      <c r="B29" s="33" t="s">
        <v>44</v>
      </c>
      <c r="C29" s="33" t="s">
        <v>44</v>
      </c>
      <c r="D29" s="33" t="s">
        <v>44</v>
      </c>
      <c r="E29" s="15">
        <f t="shared" si="4"/>
        <v>84.55000000000003</v>
      </c>
      <c r="F29" s="15">
        <f t="shared" si="0"/>
        <v>82.55000000000003</v>
      </c>
      <c r="G29" s="7">
        <v>4</v>
      </c>
      <c r="H29" s="16"/>
      <c r="I29" s="16"/>
      <c r="J29" s="16"/>
      <c r="K29" s="16"/>
      <c r="L29" s="16"/>
    </row>
    <row r="30" spans="1:12" ht="12.75">
      <c r="A30" s="53"/>
      <c r="B30" s="33"/>
      <c r="C30" s="33"/>
      <c r="D30" s="33"/>
      <c r="E30" s="33"/>
      <c r="F30" s="7"/>
      <c r="G30" s="7"/>
      <c r="H30" s="16"/>
      <c r="I30" s="16"/>
      <c r="J30" s="16"/>
      <c r="K30" s="16"/>
      <c r="L30" s="16"/>
    </row>
    <row r="31" spans="2:12" ht="12.75">
      <c r="B31" s="1"/>
      <c r="C31" s="1"/>
      <c r="D31" s="1"/>
      <c r="E31" s="1"/>
      <c r="F31" s="1"/>
      <c r="G31" s="7"/>
      <c r="H31" s="16"/>
      <c r="I31" s="16"/>
      <c r="J31" s="16"/>
      <c r="K31" s="16"/>
      <c r="L31" s="16"/>
    </row>
    <row r="32" spans="2:12" ht="12.75">
      <c r="B32" s="1"/>
      <c r="C32" s="1"/>
      <c r="D32" s="1"/>
      <c r="E32" s="1"/>
      <c r="F32" s="1"/>
      <c r="G32" s="7"/>
      <c r="H32" s="16"/>
      <c r="I32" s="16"/>
      <c r="J32" s="16"/>
      <c r="K32" s="16"/>
      <c r="L32" s="16"/>
    </row>
    <row r="33" spans="2:12" ht="12.75">
      <c r="B33" s="1"/>
      <c r="C33" s="1"/>
      <c r="D33" s="1"/>
      <c r="E33" s="1"/>
      <c r="F33" s="1"/>
      <c r="G33" s="7"/>
      <c r="H33" s="16"/>
      <c r="I33" s="16"/>
      <c r="J33" s="16"/>
      <c r="K33" s="16"/>
      <c r="L33" s="16"/>
    </row>
    <row r="34" spans="2:12" ht="12.75">
      <c r="B34" s="1"/>
      <c r="C34" s="1"/>
      <c r="D34" s="1"/>
      <c r="E34" s="1"/>
      <c r="F34" s="1"/>
      <c r="G34" s="7"/>
      <c r="H34" s="16"/>
      <c r="I34" s="16"/>
      <c r="J34" s="16"/>
      <c r="K34" s="16"/>
      <c r="L34" s="16"/>
    </row>
    <row r="35" spans="2:12" ht="12.75">
      <c r="B35" s="1"/>
      <c r="C35" s="1"/>
      <c r="D35" s="1"/>
      <c r="E35" s="1"/>
      <c r="F35" s="1"/>
      <c r="G35" s="7"/>
      <c r="H35" s="16"/>
      <c r="I35" s="16"/>
      <c r="J35" s="16"/>
      <c r="K35" s="16"/>
      <c r="L35" s="16"/>
    </row>
    <row r="36" spans="2:12" ht="12.75">
      <c r="B36" s="1"/>
      <c r="C36" s="1"/>
      <c r="D36" s="1"/>
      <c r="E36" s="1"/>
      <c r="F36" s="1"/>
      <c r="G36" s="7"/>
      <c r="H36" s="16"/>
      <c r="I36" s="16"/>
      <c r="J36" s="16"/>
      <c r="K36" s="16"/>
      <c r="L36" s="16"/>
    </row>
    <row r="37" spans="2:12" ht="12.75">
      <c r="B37" s="1"/>
      <c r="C37" s="1"/>
      <c r="D37" s="1"/>
      <c r="E37" s="1"/>
      <c r="F37" s="65"/>
      <c r="G37" s="1"/>
      <c r="H37" s="16"/>
      <c r="I37" s="16"/>
      <c r="J37" s="16"/>
      <c r="K37" s="16"/>
      <c r="L37" s="16"/>
    </row>
    <row r="38" spans="2:12" ht="12.75">
      <c r="B38" s="1"/>
      <c r="C38" s="1"/>
      <c r="D38" s="1"/>
      <c r="E38" s="1"/>
      <c r="F38" s="65"/>
      <c r="G38" s="1"/>
      <c r="H38" s="16"/>
      <c r="I38" s="16"/>
      <c r="J38" s="16"/>
      <c r="K38" s="16"/>
      <c r="L38" s="16"/>
    </row>
    <row r="39" spans="2:12" ht="12.75">
      <c r="B39" s="1"/>
      <c r="C39" s="1"/>
      <c r="D39" s="1"/>
      <c r="E39" s="1"/>
      <c r="F39" s="65"/>
      <c r="G39" s="1"/>
      <c r="H39" s="16"/>
      <c r="I39" s="16"/>
      <c r="J39" s="16"/>
      <c r="K39" s="16"/>
      <c r="L39" s="16"/>
    </row>
    <row r="40" spans="2:12" ht="12.75">
      <c r="B40" s="7"/>
      <c r="C40" s="7"/>
      <c r="D40" s="41"/>
      <c r="E40" s="41"/>
      <c r="F40" s="1"/>
      <c r="G40" s="1"/>
      <c r="H40" s="16"/>
      <c r="I40" s="16"/>
      <c r="J40" s="16"/>
      <c r="K40" s="16"/>
      <c r="L40" s="16"/>
    </row>
    <row r="41" spans="2:12" ht="12.75">
      <c r="B41" s="7"/>
      <c r="C41" s="7"/>
      <c r="D41" s="41"/>
      <c r="E41" s="41"/>
      <c r="F41" s="1"/>
      <c r="G41" s="1"/>
      <c r="H41" s="16"/>
      <c r="I41" s="16"/>
      <c r="J41" s="16"/>
      <c r="K41" s="16"/>
      <c r="L41" s="16"/>
    </row>
    <row r="42" spans="2:12" ht="12.75">
      <c r="B42" s="7"/>
      <c r="C42" s="7"/>
      <c r="D42" s="41"/>
      <c r="E42" s="41"/>
      <c r="F42" s="1"/>
      <c r="G42" s="1"/>
      <c r="H42" s="16"/>
      <c r="I42" s="16"/>
      <c r="J42" s="16"/>
      <c r="K42" s="16"/>
      <c r="L42" s="16"/>
    </row>
    <row r="43" spans="2:12" ht="12.75">
      <c r="B43" s="7"/>
      <c r="C43" s="7"/>
      <c r="D43" s="41"/>
      <c r="E43" s="41"/>
      <c r="F43" s="1"/>
      <c r="G43" s="1"/>
      <c r="H43" s="16"/>
      <c r="I43" s="16"/>
      <c r="J43" s="16"/>
      <c r="K43" s="16"/>
      <c r="L43" s="16"/>
    </row>
    <row r="44" spans="8:12" ht="12.75">
      <c r="H44" s="16"/>
      <c r="I44" s="16"/>
      <c r="J44" s="16"/>
      <c r="K44" s="16"/>
      <c r="L44" s="16"/>
    </row>
    <row r="45" spans="1:12" ht="12.75">
      <c r="A45" s="7"/>
      <c r="B45" s="33"/>
      <c r="C45" s="33"/>
      <c r="D45" s="33"/>
      <c r="E45" s="33"/>
      <c r="F45" s="7"/>
      <c r="G45" s="7"/>
      <c r="H45" s="16"/>
      <c r="I45" s="16"/>
      <c r="J45" s="16"/>
      <c r="K45" s="16"/>
      <c r="L45" s="16"/>
    </row>
    <row r="46" spans="1:12" ht="12.75">
      <c r="A46" s="7"/>
      <c r="B46" s="33"/>
      <c r="C46" s="33"/>
      <c r="D46" s="33"/>
      <c r="E46" s="33"/>
      <c r="F46" s="7"/>
      <c r="G46" s="7"/>
      <c r="H46" s="16"/>
      <c r="I46" s="16"/>
      <c r="J46" s="16"/>
      <c r="K46" s="16"/>
      <c r="L46" s="16"/>
    </row>
    <row r="47" spans="1:14" s="1" customFormat="1" ht="12.75">
      <c r="A47" s="53"/>
      <c r="B47" s="53"/>
      <c r="C47" s="53"/>
      <c r="D47" s="53"/>
      <c r="E47" s="53"/>
      <c r="F47" s="53"/>
      <c r="G47" s="53"/>
      <c r="H47" s="53"/>
      <c r="I47" s="53"/>
      <c r="J47" s="53"/>
      <c r="K47" s="53"/>
      <c r="L47" s="53"/>
      <c r="M47" s="53"/>
      <c r="N47" s="53"/>
    </row>
    <row r="48" spans="1:14" ht="12.75">
      <c r="A48" s="33"/>
      <c r="B48" s="33"/>
      <c r="C48" s="33"/>
      <c r="D48" s="53"/>
      <c r="E48" s="53"/>
      <c r="F48" s="53"/>
      <c r="G48" s="53"/>
      <c r="H48" s="53"/>
      <c r="I48" s="53"/>
      <c r="J48" s="53"/>
      <c r="K48" s="53"/>
      <c r="L48" s="53"/>
      <c r="M48" s="53"/>
      <c r="N48" s="53"/>
    </row>
    <row r="49" spans="1:14" ht="12.75">
      <c r="A49" s="53"/>
      <c r="B49" s="53"/>
      <c r="C49" s="53"/>
      <c r="D49" s="53"/>
      <c r="E49" s="53"/>
      <c r="F49" s="53"/>
      <c r="G49" s="53"/>
      <c r="H49" s="53"/>
      <c r="I49" s="53"/>
      <c r="J49" s="53"/>
      <c r="K49" s="53"/>
      <c r="L49" s="53"/>
      <c r="M49" s="53"/>
      <c r="N49" s="53"/>
    </row>
    <row r="50" spans="1:14" ht="12.75">
      <c r="A50" s="75"/>
      <c r="B50" s="75"/>
      <c r="C50" s="75"/>
      <c r="D50" s="76"/>
      <c r="E50" s="76"/>
      <c r="F50" s="77"/>
      <c r="G50" s="77"/>
      <c r="H50" s="77"/>
      <c r="I50" s="77"/>
      <c r="J50" s="77"/>
      <c r="K50" s="76"/>
      <c r="L50" s="76"/>
      <c r="M50" s="77"/>
      <c r="N50" s="76"/>
    </row>
    <row r="51" spans="1:14" ht="12.75">
      <c r="A51" s="78"/>
      <c r="B51" s="78"/>
      <c r="C51" s="78"/>
      <c r="D51" s="79"/>
      <c r="E51" s="79"/>
      <c r="F51" s="80"/>
      <c r="G51" s="77"/>
      <c r="H51" s="77"/>
      <c r="I51" s="80"/>
      <c r="J51" s="80"/>
      <c r="K51" s="79"/>
      <c r="L51" s="79"/>
      <c r="M51" s="80"/>
      <c r="N51" s="79"/>
    </row>
    <row r="52" spans="1:14" ht="12.75">
      <c r="A52" s="75"/>
      <c r="B52" s="75"/>
      <c r="C52" s="75"/>
      <c r="D52" s="79"/>
      <c r="E52" s="79"/>
      <c r="F52" s="80"/>
      <c r="G52" s="80"/>
      <c r="H52" s="80"/>
      <c r="I52" s="80"/>
      <c r="J52" s="80"/>
      <c r="K52" s="79"/>
      <c r="L52" s="79"/>
      <c r="M52" s="80"/>
      <c r="N52" s="79"/>
    </row>
    <row r="53" spans="1:14" ht="12.75">
      <c r="A53" s="81"/>
      <c r="B53" s="81"/>
      <c r="C53" s="81"/>
      <c r="D53" s="82"/>
      <c r="E53" s="82"/>
      <c r="F53" s="83"/>
      <c r="G53" s="83"/>
      <c r="H53" s="83"/>
      <c r="I53" s="83"/>
      <c r="J53" s="83"/>
      <c r="K53" s="82"/>
      <c r="L53" s="82"/>
      <c r="M53" s="83"/>
      <c r="N53" s="82"/>
    </row>
    <row r="54" spans="1:14" s="1" customFormat="1" ht="12.75">
      <c r="A54" s="75"/>
      <c r="B54" s="75"/>
      <c r="C54" s="75"/>
      <c r="D54" s="76"/>
      <c r="E54" s="76"/>
      <c r="F54" s="77"/>
      <c r="G54" s="77"/>
      <c r="H54" s="41"/>
      <c r="I54" s="77"/>
      <c r="J54" s="77"/>
      <c r="K54" s="76"/>
      <c r="L54" s="76"/>
      <c r="M54" s="77"/>
      <c r="N54" s="76"/>
    </row>
    <row r="55" spans="1:14" ht="12.75">
      <c r="A55" s="75"/>
      <c r="B55" s="75"/>
      <c r="C55" s="75"/>
      <c r="D55" s="79"/>
      <c r="E55" s="79"/>
      <c r="F55" s="80"/>
      <c r="G55" s="77"/>
      <c r="H55" s="77"/>
      <c r="I55" s="80"/>
      <c r="J55" s="80"/>
      <c r="K55" s="79"/>
      <c r="L55" s="79"/>
      <c r="M55" s="80"/>
      <c r="N55" s="79"/>
    </row>
    <row r="56" spans="1:14" ht="12.75">
      <c r="A56" s="75"/>
      <c r="B56" s="75"/>
      <c r="C56" s="75"/>
      <c r="D56" s="79"/>
      <c r="E56" s="79"/>
      <c r="F56" s="80"/>
      <c r="G56" s="77"/>
      <c r="H56" s="77"/>
      <c r="I56" s="80"/>
      <c r="J56" s="80"/>
      <c r="K56" s="79"/>
      <c r="L56" s="79"/>
      <c r="M56" s="80"/>
      <c r="N56" s="79"/>
    </row>
    <row r="57" spans="1:14" ht="12.75">
      <c r="A57" s="75"/>
      <c r="B57" s="75"/>
      <c r="C57" s="75"/>
      <c r="D57" s="79"/>
      <c r="E57" s="79"/>
      <c r="F57" s="80"/>
      <c r="G57" s="77"/>
      <c r="H57" s="77"/>
      <c r="I57" s="80"/>
      <c r="J57" s="80"/>
      <c r="K57" s="79"/>
      <c r="L57" s="79"/>
      <c r="M57" s="80"/>
      <c r="N57" s="79"/>
    </row>
    <row r="58" spans="1:12" ht="12.75">
      <c r="A58" s="31"/>
      <c r="B58" s="38"/>
      <c r="C58" s="38"/>
      <c r="D58" s="39"/>
      <c r="E58" s="39"/>
      <c r="F58" s="39"/>
      <c r="G58" s="39"/>
      <c r="H58" s="39"/>
      <c r="I58" s="39"/>
      <c r="J58" s="39"/>
      <c r="K58" s="39"/>
      <c r="L58" s="39"/>
    </row>
    <row r="59" ht="12.75">
      <c r="A59"/>
    </row>
    <row r="60" ht="12.75">
      <c r="A60"/>
    </row>
    <row r="61" ht="12.75">
      <c r="A61"/>
    </row>
    <row r="62" ht="12.75">
      <c r="A62" s="6"/>
    </row>
  </sheetData>
  <sheetProtection password="87AF" sheet="1" objects="1" scenarios="1"/>
  <mergeCells count="2">
    <mergeCell ref="B1:C1"/>
    <mergeCell ref="A2:A3"/>
  </mergeCells>
  <printOptions/>
  <pageMargins left="0.75" right="0.75" top="1" bottom="1" header="0.5" footer="0.5"/>
  <pageSetup fitToHeight="1" fitToWidth="1" horizontalDpi="600" verticalDpi="600" orientation="landscape" r:id="rId1"/>
  <headerFooter alignWithMargins="0">
    <oddFooter>&amp;C&amp;F&amp;R&amp;D</oddFooter>
  </headerFooter>
</worksheet>
</file>

<file path=xl/worksheets/sheet2.xml><?xml version="1.0" encoding="utf-8"?>
<worksheet xmlns="http://schemas.openxmlformats.org/spreadsheetml/2006/main" xmlns:r="http://schemas.openxmlformats.org/officeDocument/2006/relationships">
  <dimension ref="A1:G71"/>
  <sheetViews>
    <sheetView workbookViewId="0" topLeftCell="A1">
      <selection activeCell="L20" sqref="L20"/>
    </sheetView>
  </sheetViews>
  <sheetFormatPr defaultColWidth="11.421875" defaultRowHeight="12.75"/>
  <cols>
    <col min="1" max="11" width="9.140625" style="0" customWidth="1"/>
    <col min="12" max="12" width="92.57421875" style="0" customWidth="1"/>
    <col min="13" max="16384" width="9.140625" style="0" customWidth="1"/>
  </cols>
  <sheetData>
    <row r="1" ht="12.75">
      <c r="A1" s="3" t="s">
        <v>249</v>
      </c>
    </row>
    <row r="2" ht="12.75">
      <c r="A2" s="3"/>
    </row>
    <row r="65" ht="12.75">
      <c r="A65" t="s">
        <v>264</v>
      </c>
    </row>
    <row r="66" spans="2:7" ht="12.75">
      <c r="B66" s="99" t="s">
        <v>275</v>
      </c>
      <c r="G66" t="s">
        <v>276</v>
      </c>
    </row>
    <row r="67" spans="2:7" ht="12.75">
      <c r="B67" s="99" t="s">
        <v>277</v>
      </c>
      <c r="G67" t="s">
        <v>279</v>
      </c>
    </row>
    <row r="68" spans="2:7" ht="12.75">
      <c r="B68" s="99" t="s">
        <v>265</v>
      </c>
      <c r="G68" t="s">
        <v>272</v>
      </c>
    </row>
    <row r="69" spans="2:7" ht="12.75">
      <c r="B69" s="99" t="s">
        <v>266</v>
      </c>
      <c r="G69" t="s">
        <v>280</v>
      </c>
    </row>
    <row r="70" spans="2:7" ht="12.75">
      <c r="B70" s="99" t="s">
        <v>268</v>
      </c>
      <c r="G70" t="s">
        <v>273</v>
      </c>
    </row>
    <row r="71" spans="2:7" ht="12.75">
      <c r="B71" s="99" t="s">
        <v>267</v>
      </c>
      <c r="G71" t="s">
        <v>274</v>
      </c>
    </row>
  </sheetData>
  <sheetProtection password="87AF" sheet="1" objects="1" scenarios="1"/>
  <hyperlinks>
    <hyperlink ref="B67" r:id="rId1" display="www.justkdx.dirtrider.net"/>
    <hyperlink ref="B68" r:id="rId2" display="www.lifenet.com/brm/carbkei.htm"/>
    <hyperlink ref="B69" r:id="rId3" display="www.keihin-us.com/carb.html"/>
    <hyperlink ref="B70" r:id="rId4" display="www.sudco.com/"/>
    <hyperlink ref="B71" r:id="rId5" display="www.carbparts.com/"/>
    <hyperlink ref="B66" r:id="rId6" display="www.ericgorr.com/techarticles/carbtuning.html#a"/>
  </hyperlinks>
  <printOptions/>
  <pageMargins left="0.75" right="0.75" top="1" bottom="1" header="0.5" footer="0.5"/>
  <pageSetup horizontalDpi="600" verticalDpi="600" orientation="portrait" scale="76" r:id="rId8"/>
  <colBreaks count="2" manualBreakCount="2">
    <brk id="11" max="64" man="1"/>
    <brk id="12" max="64" man="1"/>
  </colBreaks>
  <drawing r:id="rId7"/>
</worksheet>
</file>

<file path=xl/worksheets/sheet3.xml><?xml version="1.0" encoding="utf-8"?>
<worksheet xmlns="http://schemas.openxmlformats.org/spreadsheetml/2006/main" xmlns:r="http://schemas.openxmlformats.org/officeDocument/2006/relationships">
  <dimension ref="A1:A1"/>
  <sheetViews>
    <sheetView workbookViewId="0" topLeftCell="A144">
      <selection activeCell="L98" sqref="L98"/>
    </sheetView>
  </sheetViews>
  <sheetFormatPr defaultColWidth="11.421875" defaultRowHeight="12.75"/>
  <cols>
    <col min="1" max="11" width="9.140625" style="0" customWidth="1"/>
    <col min="12" max="12" width="75.57421875" style="0" customWidth="1"/>
    <col min="13" max="16384" width="9.140625" style="0" customWidth="1"/>
  </cols>
  <sheetData>
    <row r="1" ht="12.75">
      <c r="A1" s="3" t="s">
        <v>249</v>
      </c>
    </row>
  </sheetData>
  <sheetProtection sheet="1" objects="1" scenarios="1"/>
  <printOptions/>
  <pageMargins left="0.75" right="0.75" top="1" bottom="1" header="0.5" footer="0.5"/>
  <pageSetup horizontalDpi="600" verticalDpi="600" orientation="portrait" scale="82" r:id="rId2"/>
  <rowBreaks count="1" manualBreakCount="1">
    <brk id="64" max="255" man="1"/>
  </rowBreaks>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O72"/>
  <sheetViews>
    <sheetView tabSelected="1" zoomScale="70" zoomScaleNormal="70" workbookViewId="0" topLeftCell="A1">
      <selection activeCell="G8" sqref="G8"/>
    </sheetView>
  </sheetViews>
  <sheetFormatPr defaultColWidth="11.421875" defaultRowHeight="12.75"/>
  <cols>
    <col min="1" max="1" width="9.28125" style="0" customWidth="1"/>
    <col min="2" max="2" width="12.7109375" style="0" customWidth="1"/>
    <col min="3" max="5" width="9.140625" style="0" customWidth="1"/>
    <col min="6" max="6" width="11.7109375" style="0" customWidth="1"/>
    <col min="7" max="7" width="9.140625" style="0" customWidth="1"/>
    <col min="8" max="8" width="8.28125" style="0" customWidth="1"/>
    <col min="9" max="9" width="7.421875" style="0" customWidth="1"/>
    <col min="10" max="10" width="15.140625" style="0" customWidth="1"/>
    <col min="11" max="11" width="27.00390625" style="0" customWidth="1"/>
    <col min="12" max="12" width="25.28125" style="0" customWidth="1"/>
    <col min="13" max="16384" width="9.140625" style="0" customWidth="1"/>
  </cols>
  <sheetData>
    <row r="1" spans="1:11" ht="12.75">
      <c r="A1" s="118" t="s">
        <v>288</v>
      </c>
      <c r="B1" s="118"/>
      <c r="C1" s="118"/>
      <c r="D1" s="118"/>
      <c r="E1" s="118"/>
      <c r="F1" s="118"/>
      <c r="G1" s="118"/>
      <c r="H1" s="118"/>
      <c r="I1" s="118"/>
      <c r="J1" s="118"/>
      <c r="K1" s="118"/>
    </row>
    <row r="2" spans="1:11" ht="13.5" customHeight="1" thickBot="1">
      <c r="A2" s="144"/>
      <c r="B2" s="144"/>
      <c r="C2" s="144"/>
      <c r="D2" s="144"/>
      <c r="E2" s="144"/>
      <c r="F2" s="144"/>
      <c r="G2" s="144"/>
      <c r="H2" s="144"/>
      <c r="I2" s="144"/>
      <c r="J2" s="144"/>
      <c r="K2" s="144"/>
    </row>
    <row r="3" spans="1:12" ht="26.25" customHeight="1">
      <c r="A3" s="138" t="s">
        <v>289</v>
      </c>
      <c r="B3" s="141" t="s">
        <v>147</v>
      </c>
      <c r="C3" s="146" t="s">
        <v>196</v>
      </c>
      <c r="D3" s="152"/>
      <c r="E3" s="149"/>
      <c r="F3" s="141" t="s">
        <v>93</v>
      </c>
      <c r="G3" s="146" t="s">
        <v>146</v>
      </c>
      <c r="H3" s="138" t="s">
        <v>292</v>
      </c>
      <c r="I3" s="141" t="s">
        <v>293</v>
      </c>
      <c r="J3" s="141" t="s">
        <v>297</v>
      </c>
      <c r="K3" s="149" t="s">
        <v>298</v>
      </c>
      <c r="L3" s="138" t="s">
        <v>291</v>
      </c>
    </row>
    <row r="4" spans="1:12" s="1" customFormat="1" ht="13.5" thickBot="1">
      <c r="A4" s="139"/>
      <c r="B4" s="142"/>
      <c r="C4" s="148"/>
      <c r="D4" s="153"/>
      <c r="E4" s="151"/>
      <c r="F4" s="143"/>
      <c r="G4" s="147"/>
      <c r="H4" s="139"/>
      <c r="I4" s="142"/>
      <c r="J4" s="142"/>
      <c r="K4" s="150"/>
      <c r="L4" s="139"/>
    </row>
    <row r="5" spans="1:12" ht="13.5" thickBot="1">
      <c r="A5" s="140"/>
      <c r="B5" s="143"/>
      <c r="C5" s="68" t="s">
        <v>192</v>
      </c>
      <c r="D5" s="68" t="s">
        <v>193</v>
      </c>
      <c r="E5" s="68" t="s">
        <v>4</v>
      </c>
      <c r="F5" s="69" t="s">
        <v>195</v>
      </c>
      <c r="G5" s="148"/>
      <c r="H5" s="140"/>
      <c r="I5" s="143"/>
      <c r="J5" s="143"/>
      <c r="K5" s="151"/>
      <c r="L5" s="140"/>
    </row>
    <row r="6" spans="1:12" ht="15.75" thickBot="1">
      <c r="A6" s="133" t="str">
        <f>IF(OR(AND(LEN(E6)=2,LEN(D6)=1,C6&lt;&gt;"N"),AND(LEN(E6)=2,LEN(D6)=2,LEN(C6)&lt;&gt;3,LEFT(C6,1)&lt;&gt;"R"),AND(D6="O",OR(E6&lt;"ZD",E6&gt;"ZI",C6&lt;&gt;"N",LEN(E6)&lt;&gt;2)),AND(D6=8,OR(E6&lt;"5A",E6&gt;"WI",C6&lt;&gt;"N",LEN(E6)&lt;&gt;2)),AND(LEFT(C6,1)="R",OR(LEN(C6)&lt;&gt;3,D6&lt;66,D6&gt;74,E6&lt;"A",E6&gt;"N")),AND(LEN(C6)=1,AND(C6&gt;"O",C6&lt;="Z")),AND(LEN(C6)=1,LEN(E6)=1,LEN(D6)&lt;&gt;1),AND(LEN(C6)=3,LEFT(C6,1)&lt;&gt;"R")),"Incorrect Combination","#1")</f>
        <v>#1</v>
      </c>
      <c r="B6" s="100">
        <v>40</v>
      </c>
      <c r="C6" s="136" t="s">
        <v>21</v>
      </c>
      <c r="D6" s="74" t="s">
        <v>24</v>
      </c>
      <c r="E6" s="137" t="s">
        <v>29</v>
      </c>
      <c r="F6" s="100">
        <v>3</v>
      </c>
      <c r="G6" s="93">
        <v>152</v>
      </c>
      <c r="H6" s="100">
        <v>100</v>
      </c>
      <c r="I6" s="100">
        <v>70</v>
      </c>
      <c r="J6" s="134" t="str">
        <f>UPPER(CONCATENATE(,C6,D6,E6,"#",F6,))</f>
        <v>BGN#3</v>
      </c>
      <c r="K6" s="134" t="str">
        <f>UPPER(CONCATENATE(B6,"P,",C6,D6,E6,"#",F6,",",G6,"M,",H6,"ft,",I6,"F"))</f>
        <v>40P,BGN#3,152M,100FT,70F</v>
      </c>
      <c r="L6" s="135">
        <f>IF(OR(AND(C6&gt;="A",C6&lt;="H"),AND(C6&gt;="J",C6&lt;="N"),C6="R10",C6="R11",C6="R13",C6="R14",C6="R20",C6="R21",C6="R23",C6="R24",C6="R30"),IF(OR(AND(D6&gt;="A",D6&lt;="H"),AND(D6&gt;="J",D6&lt;="O"),D6=3,D6=8,AND(D6&gt;=64,D6&lt;=76)),IF(OR(AND(E6&gt;="A",E6&lt;="H"),AND(E6&gt;="J",E6&lt;="N"),AND(E6&gt;="P",E6&lt;="Z"),AND(E6&gt;="5A",E6&lt;="5E"),AND(E6&gt;="ZD",E6&lt;="ZI")),"","Column 3 input not in database"),"Column 2 input not in database"),"Column 1 input not in Database")</f>
      </c>
    </row>
    <row r="7" spans="1:12" ht="15.75" thickBot="1">
      <c r="A7" s="123" t="str">
        <f>IF(OR(AND(LEN(E7)=2,LEN(D7)=1,C7&lt;&gt;"N"),AND(LEN(E7)=2,LEN(D7)=2,LEN(C7)&lt;&gt;3,LEFT(C7,1)&lt;&gt;"R"),AND(D7="O",OR(E7&lt;"ZD",E7&gt;"ZI",C7&lt;&gt;"N",LEN(E7)&lt;&gt;2)),AND(D7=8,OR(E7&lt;"5A",E7&gt;"WI",C7&lt;&gt;"N",LEN(E7)&lt;&gt;2)),AND(LEFT(C7,1)="R",OR(LEN(C7)&lt;&gt;3,D7&lt;66,D7&gt;74,E7&lt;"A",E7&gt;"N")),AND(LEN(C7)=1,AND(C7&gt;"O",C7&lt;="Z")),AND(LEN(C7)=1,LEN(E7)=1,LEN(D7)&lt;&gt;1),AND(LEN(C7)=3,LEFT(C7,1)&lt;&gt;"R")),"Incorrect Combination","#2")</f>
        <v>#2</v>
      </c>
      <c r="B7" s="100">
        <v>40</v>
      </c>
      <c r="C7" s="136" t="s">
        <v>21</v>
      </c>
      <c r="D7" s="74" t="s">
        <v>24</v>
      </c>
      <c r="E7" s="137" t="s">
        <v>29</v>
      </c>
      <c r="F7" s="100">
        <v>3</v>
      </c>
      <c r="G7" s="93">
        <v>155</v>
      </c>
      <c r="H7" s="100">
        <v>100</v>
      </c>
      <c r="I7" s="100">
        <v>70</v>
      </c>
      <c r="J7" s="120" t="str">
        <f>UPPER(CONCATENATE(,C7,D7,E7,"#",F7,))</f>
        <v>BGN#3</v>
      </c>
      <c r="K7" s="120" t="str">
        <f>UPPER(CONCATENATE(B7,"P,",C7,D7,E7,"#",F7,",",G7,"M,",H7,"ft,",I7,"F"))</f>
        <v>40P,BGN#3,155M,100FT,70F</v>
      </c>
      <c r="L7" s="129">
        <f>IF(OR(AND(C7&gt;="A",C7&lt;="H"),AND(C7&gt;="J",C7&lt;="N"),C7="R10",C7="R11",C7="R13",C7="R14",C7="R20",C7="R21",C7="R23",C7="R24",C7="R30"),IF(OR(AND(D7&gt;="A",D7&lt;="H"),AND(D7&gt;="J",D7&lt;="O"),D7=3,D7=8,AND(D7&gt;=64,D7&lt;=76)),IF(OR(AND(E7&gt;="A",E7&lt;="H"),AND(E7&gt;="J",E7&lt;="N"),AND(E7&gt;="P",E7&lt;="Z"),AND(E7&gt;="5A",E7&lt;="5E"),AND(E7&gt;="ZD",E7&lt;="ZI")),"","Column 3 input not in database"),"Column 2 input not in database"),"Column 1 input not in Database")</f>
      </c>
    </row>
    <row r="8" spans="1:12" ht="15.75" thickBot="1">
      <c r="A8" s="124" t="str">
        <f>IF(OR(AND(LEN(E8)=2,LEN(D8)=1,C8&lt;&gt;"N"),AND(LEN(E8)=2,LEN(D8)=2,LEN(C8)&lt;&gt;3,LEFT(C8,1)&lt;&gt;"R"),AND(D8="O",OR(E8&lt;"ZD",E8&gt;"ZI",C8&lt;&gt;"N",LEN(E8)&lt;&gt;2)),AND(D8=8,OR(E8&lt;"5A",E8&gt;"WI",C8&lt;&gt;"N",LEN(E8)&lt;&gt;2)),AND(LEFT(C8,1)="R",OR(LEN(C8)&lt;&gt;3,D8&lt;66,D8&gt;74,E8&lt;"A",E8&gt;"N")),AND(LEN(C8)=1,AND(C8&gt;"O",C8&lt;="Z")),AND(LEN(C8)=1,LEN(E8)=1,LEN(D8)&lt;&gt;1),AND(LEN(C8)=3,LEFT(C8,1)&lt;&gt;"R")),"Incorrect Combination","#3")</f>
        <v>#3</v>
      </c>
      <c r="B8" s="100">
        <v>40</v>
      </c>
      <c r="C8" s="136"/>
      <c r="D8" s="74"/>
      <c r="E8" s="137"/>
      <c r="F8" s="100">
        <v>3</v>
      </c>
      <c r="G8" s="93">
        <v>152</v>
      </c>
      <c r="H8" s="100">
        <v>100</v>
      </c>
      <c r="I8" s="100">
        <v>70</v>
      </c>
      <c r="J8" s="128" t="str">
        <f>UPPER(CONCATENATE(,C8,D8,E8,"#",F8,))</f>
        <v>#3</v>
      </c>
      <c r="K8" s="128" t="str">
        <f>UPPER(CONCATENATE(B8,"P,",C8,D8,E8,"#",F8,",",G8,"M,",H8,"ft,",I8,"F"))</f>
        <v>40P,#3,152M,100FT,70F</v>
      </c>
      <c r="L8" s="119" t="str">
        <f>IF(OR(AND(C8&gt;="A",C8&lt;="H"),AND(C8&gt;="J",C8&lt;="N"),C8="R10",C8="R11",C8="R13",C8="R14",C8="R20",C8="R21",C8="R23",C8="R24",C8="R30"),IF(OR(AND(D8&gt;="A",D8&lt;="H"),AND(D8&gt;="J",D8&lt;="O"),D8=3,D8=8,AND(D8&gt;=64,D8&lt;=76)),IF(OR(AND(E8&gt;="A",E8&lt;="H"),AND(E8&gt;="J",E8&lt;="N"),AND(E8&gt;="P",E8&lt;="Z"),AND(E8&gt;="5A",E8&lt;="5E"),AND(E8&gt;="ZD",E8&lt;="ZI")),"","Column 3 input not in database"),"Column 2 input not in database"),"Column 1 input not in Database")</f>
        <v>Column 1 input not in Database</v>
      </c>
    </row>
    <row r="9" spans="1:12" ht="15.75" thickBot="1">
      <c r="A9" s="125" t="str">
        <f>IF(OR(AND(LEN(E9)=2,LEN(D9)=1,C9&lt;&gt;"N"),AND(LEN(E9)=2,LEN(D9)=2,LEN(C9)&lt;&gt;3,LEFT(C9,1)&lt;&gt;"R"),AND(D9="O",OR(E9&lt;"ZD",E9&gt;"ZI",C9&lt;&gt;"N",LEN(E9)&lt;&gt;2)),AND(D9=8,OR(E9&lt;"5A",E9&gt;"WI",C9&lt;&gt;"N",LEN(E9)&lt;&gt;2)),AND(LEFT(C9,1)="R",OR(LEN(C9)&lt;&gt;3,D9&lt;66,D9&gt;74,E9&lt;"A",E9&gt;"N")),AND(LEN(C9)=1,AND(C9&gt;"O",C9&lt;="Z")),AND(LEN(C9)=1,LEN(E9)=1,LEN(D9)&lt;&gt;1),AND(LEN(C9)=3,LEFT(C9,1)&lt;&gt;"R")),"Incorrect Combination","#4")</f>
        <v>#4</v>
      </c>
      <c r="B9" s="100">
        <v>40</v>
      </c>
      <c r="C9" s="136"/>
      <c r="D9" s="74"/>
      <c r="E9" s="137"/>
      <c r="F9" s="100">
        <v>3</v>
      </c>
      <c r="G9" s="93">
        <v>152</v>
      </c>
      <c r="H9" s="100">
        <v>100</v>
      </c>
      <c r="I9" s="100">
        <v>70</v>
      </c>
      <c r="J9" s="126" t="str">
        <f>UPPER(CONCATENATE(,C9,D9,E9,"#",F9,))</f>
        <v>#3</v>
      </c>
      <c r="K9" s="126" t="str">
        <f>UPPER(CONCATENATE(B9,"P,",C9,D9,E9,"#",F9,",",G9,"M,",H9,"ft,",I9,"F"))</f>
        <v>40P,#3,152M,100FT,70F</v>
      </c>
      <c r="L9" s="127"/>
    </row>
    <row r="10" spans="1:15" ht="15.75" thickBot="1">
      <c r="A10" s="131" t="str">
        <f>IF(OR(AND(LEN(E10)=2,LEN(D10)=1,C10&lt;&gt;"N"),AND(LEN(E10)=2,LEN(D10)=2,LEN(C10)&lt;&gt;3,LEFT(C10,1)&lt;&gt;"R"),AND(D10="O",OR(E10&lt;"ZD",E10&gt;"ZI",C10&lt;&gt;"N",LEN(E10)&lt;&gt;2)),AND(D10=8,OR(E10&lt;"5A",E10&gt;"WI",C10&lt;&gt;"N",LEN(E10)&lt;&gt;2)),AND(LEFT(C10,1)="R",OR(LEN(C10)&lt;&gt;3,D10&lt;66,D10&gt;74,E10&lt;"A",E10&gt;"N")),AND(LEN(C10)=1,AND(C10&gt;"O",C10&lt;="Z")),AND(LEN(C10)=1,LEN(E10)=1,LEN(D10)&lt;&gt;1),AND(LEN(C10)=3,LEFT(C10,1)&lt;&gt;"R")),"Incorrect Combination","#5")</f>
        <v>#5</v>
      </c>
      <c r="B10" s="100">
        <v>40</v>
      </c>
      <c r="C10" s="136"/>
      <c r="D10" s="74"/>
      <c r="E10" s="137"/>
      <c r="F10" s="100">
        <v>3</v>
      </c>
      <c r="G10" s="93">
        <v>152</v>
      </c>
      <c r="H10" s="100">
        <v>100</v>
      </c>
      <c r="I10" s="100">
        <v>70</v>
      </c>
      <c r="J10" s="132" t="str">
        <f>UPPER(CONCATENATE(,C10,D10,E10,"#",F10,))</f>
        <v>#3</v>
      </c>
      <c r="K10" s="132" t="str">
        <f>UPPER(CONCATENATE(B10,"P,",C10,D10,E10,"#",F10,",",G10,"M,",H10,"ft,",I10,"F"))</f>
        <v>40P,#3,152M,100FT,70F</v>
      </c>
      <c r="L10" s="130"/>
      <c r="O10" s="92"/>
    </row>
    <row r="13" spans="7:8" ht="12.75">
      <c r="G13" s="16"/>
      <c r="H13" s="16"/>
    </row>
    <row r="18" ht="12.75">
      <c r="K18" s="3"/>
    </row>
    <row r="24" ht="12.75">
      <c r="K24" s="96"/>
    </row>
    <row r="25" ht="12.75">
      <c r="K25" s="96"/>
    </row>
    <row r="35" ht="12.75">
      <c r="K35" s="3" t="s">
        <v>116</v>
      </c>
    </row>
    <row r="37" ht="12.75">
      <c r="K37" s="3"/>
    </row>
    <row r="38" ht="12.75">
      <c r="K38" s="3"/>
    </row>
    <row r="45" ht="15" customHeight="1"/>
    <row r="48" spans="1:6" ht="12.75">
      <c r="A48" s="145" t="s">
        <v>197</v>
      </c>
      <c r="B48" s="145"/>
      <c r="C48" s="145"/>
      <c r="D48" s="145"/>
      <c r="E48" s="145"/>
      <c r="F48" s="145"/>
    </row>
    <row r="49" spans="1:6" ht="12.75">
      <c r="A49" s="7"/>
      <c r="B49" s="102" t="s">
        <v>290</v>
      </c>
      <c r="C49" s="7"/>
      <c r="D49" s="7"/>
      <c r="E49" s="7"/>
      <c r="F49" s="7"/>
    </row>
    <row r="50" spans="1:6" ht="12.75">
      <c r="A50" s="16"/>
      <c r="B50" s="121" t="s">
        <v>285</v>
      </c>
      <c r="C50" s="101" t="s">
        <v>192</v>
      </c>
      <c r="D50" s="101" t="s">
        <v>2</v>
      </c>
      <c r="E50" s="101" t="s">
        <v>4</v>
      </c>
      <c r="F50" s="16"/>
    </row>
    <row r="51" spans="1:6" ht="12.75">
      <c r="A51" s="16"/>
      <c r="B51" s="122" t="s">
        <v>286</v>
      </c>
      <c r="C51" s="101" t="s">
        <v>192</v>
      </c>
      <c r="D51" s="101" t="s">
        <v>4</v>
      </c>
      <c r="E51" s="101" t="s">
        <v>2</v>
      </c>
      <c r="F51" s="16"/>
    </row>
    <row r="52" spans="1:6" ht="12.75">
      <c r="A52" s="16"/>
      <c r="B52" s="122" t="s">
        <v>287</v>
      </c>
      <c r="C52" s="101" t="s">
        <v>284</v>
      </c>
      <c r="D52" s="101" t="s">
        <v>284</v>
      </c>
      <c r="E52" s="101" t="s">
        <v>4</v>
      </c>
      <c r="F52" s="16"/>
    </row>
    <row r="55" spans="1:10" ht="12.75">
      <c r="A55" s="3" t="s">
        <v>132</v>
      </c>
      <c r="J55" s="3" t="s">
        <v>137</v>
      </c>
    </row>
    <row r="56" ht="12.75">
      <c r="A56" s="3" t="s">
        <v>184</v>
      </c>
    </row>
    <row r="57" spans="1:10" ht="12.75">
      <c r="A57" s="3" t="s">
        <v>239</v>
      </c>
      <c r="J57" s="3" t="s">
        <v>203</v>
      </c>
    </row>
    <row r="58" spans="1:10" ht="12.75">
      <c r="A58" s="3" t="s">
        <v>238</v>
      </c>
      <c r="J58" s="3" t="s">
        <v>204</v>
      </c>
    </row>
    <row r="59" spans="1:10" ht="12.75">
      <c r="A59" s="3" t="s">
        <v>237</v>
      </c>
      <c r="J59" s="3" t="s">
        <v>205</v>
      </c>
    </row>
    <row r="60" ht="12.75">
      <c r="A60" s="3" t="s">
        <v>271</v>
      </c>
    </row>
    <row r="61" spans="10:11" ht="12.75">
      <c r="J61" s="3" t="s">
        <v>206</v>
      </c>
      <c r="K61" s="118"/>
    </row>
    <row r="62" spans="1:10" ht="12.75">
      <c r="A62" s="3" t="s">
        <v>283</v>
      </c>
      <c r="J62" s="3" t="s">
        <v>207</v>
      </c>
    </row>
    <row r="63" spans="1:10" ht="12.75">
      <c r="A63" s="3" t="s">
        <v>240</v>
      </c>
      <c r="J63" s="3" t="s">
        <v>208</v>
      </c>
    </row>
    <row r="64" ht="12.75">
      <c r="A64" s="3" t="s">
        <v>185</v>
      </c>
    </row>
    <row r="65" spans="1:10" ht="12.75">
      <c r="A65" s="96" t="s">
        <v>182</v>
      </c>
      <c r="J65" s="3" t="s">
        <v>209</v>
      </c>
    </row>
    <row r="66" spans="1:10" ht="12.75">
      <c r="A66" s="96" t="s">
        <v>183</v>
      </c>
      <c r="J66" s="3" t="s">
        <v>221</v>
      </c>
    </row>
    <row r="67" ht="12.75">
      <c r="J67" s="3" t="s">
        <v>220</v>
      </c>
    </row>
    <row r="68" ht="12.75">
      <c r="A68" s="3" t="s">
        <v>200</v>
      </c>
    </row>
    <row r="69" ht="12.75">
      <c r="A69" s="3" t="s">
        <v>199</v>
      </c>
    </row>
    <row r="70" ht="12.75">
      <c r="A70" s="3" t="s">
        <v>202</v>
      </c>
    </row>
    <row r="72" spans="1:10" ht="12.75">
      <c r="A72" s="118" t="s">
        <v>288</v>
      </c>
      <c r="B72" s="118"/>
      <c r="C72" s="118"/>
      <c r="D72" s="118"/>
      <c r="E72" s="118"/>
      <c r="F72" s="118"/>
      <c r="G72" s="118"/>
      <c r="H72" s="118"/>
      <c r="I72" s="118"/>
      <c r="J72" s="118"/>
    </row>
  </sheetData>
  <sheetProtection/>
  <mergeCells count="12">
    <mergeCell ref="A2:K2"/>
    <mergeCell ref="A48:F48"/>
    <mergeCell ref="G3:G5"/>
    <mergeCell ref="B3:B5"/>
    <mergeCell ref="K3:K5"/>
    <mergeCell ref="C3:E4"/>
    <mergeCell ref="F3:F4"/>
    <mergeCell ref="L3:L5"/>
    <mergeCell ref="A3:A5"/>
    <mergeCell ref="H3:H5"/>
    <mergeCell ref="I3:I5"/>
    <mergeCell ref="J3:J5"/>
  </mergeCells>
  <conditionalFormatting sqref="F6:F10">
    <cfRule type="cellIs" priority="1" dxfId="0" operator="notBetween" stopIfTrue="1">
      <formula>1</formula>
      <formula>5</formula>
    </cfRule>
  </conditionalFormatting>
  <conditionalFormatting sqref="L6:L10">
    <cfRule type="cellIs" priority="2" dxfId="0" operator="notEqual" stopIfTrue="1">
      <formula>""</formula>
    </cfRule>
  </conditionalFormatting>
  <conditionalFormatting sqref="A6:A10">
    <cfRule type="cellIs" priority="3" dxfId="1" operator="equal" stopIfTrue="1">
      <formula>"incorrect combination"</formula>
    </cfRule>
  </conditionalFormatting>
  <printOptions/>
  <pageMargins left="0.25" right="0.25" top="0.25" bottom="0.25" header="0" footer="0"/>
  <pageSetup fitToHeight="1" fitToWidth="1" horizontalDpi="600" verticalDpi="600" orientation="landscape" scale="69" r:id="rId2"/>
  <headerFooter alignWithMargins="0">
    <oddFooter>&amp;C&amp;F&amp;R&amp;D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68"/>
  <sheetViews>
    <sheetView zoomScale="75" zoomScaleNormal="75" workbookViewId="0" topLeftCell="A1">
      <selection activeCell="Q7" sqref="Q7"/>
    </sheetView>
  </sheetViews>
  <sheetFormatPr defaultColWidth="11.421875" defaultRowHeight="12.75"/>
  <cols>
    <col min="1" max="1" width="9.28125" style="0" customWidth="1"/>
    <col min="2" max="2" width="13.28125" style="0" customWidth="1"/>
    <col min="3" max="3" width="9.28125" style="0" bestFit="1" customWidth="1"/>
    <col min="4" max="5" width="9.140625" style="0" customWidth="1"/>
    <col min="6" max="6" width="11.7109375" style="0" customWidth="1"/>
    <col min="7" max="7" width="10.8515625" style="0" customWidth="1"/>
    <col min="8" max="8" width="8.00390625" style="0" customWidth="1"/>
    <col min="9" max="9" width="10.8515625" style="0" customWidth="1"/>
    <col min="10" max="10" width="14.00390625" style="0" customWidth="1"/>
    <col min="11" max="11" width="24.7109375" style="0" customWidth="1"/>
    <col min="12" max="12" width="22.28125" style="0" customWidth="1"/>
    <col min="13" max="16384" width="9.140625" style="0" customWidth="1"/>
  </cols>
  <sheetData>
    <row r="1" ht="12.75">
      <c r="A1" s="3" t="s">
        <v>249</v>
      </c>
    </row>
    <row r="2" spans="1:9" ht="13.5" customHeight="1" thickBot="1">
      <c r="A2" s="2"/>
      <c r="B2" s="144"/>
      <c r="C2" s="144"/>
      <c r="D2" s="144"/>
      <c r="E2" s="144"/>
      <c r="F2" s="144"/>
      <c r="G2" s="144"/>
      <c r="H2" s="104"/>
      <c r="I2" s="104"/>
    </row>
    <row r="3" spans="1:12" ht="12.75" customHeight="1">
      <c r="A3" s="138" t="s">
        <v>289</v>
      </c>
      <c r="B3" s="141" t="s">
        <v>147</v>
      </c>
      <c r="C3" s="146" t="s">
        <v>152</v>
      </c>
      <c r="D3" s="152"/>
      <c r="E3" s="149"/>
      <c r="F3" s="141" t="s">
        <v>93</v>
      </c>
      <c r="G3" s="146" t="s">
        <v>146</v>
      </c>
      <c r="H3" s="141" t="s">
        <v>154</v>
      </c>
      <c r="I3" s="141" t="s">
        <v>294</v>
      </c>
      <c r="J3" s="141" t="s">
        <v>297</v>
      </c>
      <c r="K3" s="149" t="s">
        <v>298</v>
      </c>
      <c r="L3" s="138" t="s">
        <v>291</v>
      </c>
    </row>
    <row r="4" spans="1:12" s="1" customFormat="1" ht="13.5" thickBot="1">
      <c r="A4" s="139"/>
      <c r="B4" s="142"/>
      <c r="C4" s="148"/>
      <c r="D4" s="153"/>
      <c r="E4" s="151"/>
      <c r="F4" s="143"/>
      <c r="G4" s="147"/>
      <c r="H4" s="142"/>
      <c r="I4" s="142"/>
      <c r="J4" s="142"/>
      <c r="K4" s="150"/>
      <c r="L4" s="139"/>
    </row>
    <row r="5" spans="1:12" ht="13.5" thickBot="1">
      <c r="A5" s="140"/>
      <c r="B5" s="143"/>
      <c r="C5" s="68" t="s">
        <v>192</v>
      </c>
      <c r="D5" s="68" t="s">
        <v>193</v>
      </c>
      <c r="E5" s="68" t="s">
        <v>4</v>
      </c>
      <c r="F5" s="69" t="s">
        <v>194</v>
      </c>
      <c r="G5" s="148"/>
      <c r="H5" s="143"/>
      <c r="I5" s="143"/>
      <c r="J5" s="143"/>
      <c r="K5" s="151"/>
      <c r="L5" s="140"/>
    </row>
    <row r="6" spans="1:13" ht="15.75" thickBot="1">
      <c r="A6" s="68" t="s">
        <v>96</v>
      </c>
      <c r="B6" s="108">
        <v>48</v>
      </c>
      <c r="C6" s="74" t="s">
        <v>3</v>
      </c>
      <c r="D6" s="74" t="s">
        <v>35</v>
      </c>
      <c r="E6" s="74" t="s">
        <v>47</v>
      </c>
      <c r="F6" s="74">
        <v>2</v>
      </c>
      <c r="G6" s="74">
        <v>175</v>
      </c>
      <c r="H6" s="107">
        <v>100</v>
      </c>
      <c r="I6" s="100">
        <v>70</v>
      </c>
      <c r="J6" s="70" t="str">
        <f>UPPER(CONCATENATE(,C6,D6,E6,"#",F6,))</f>
        <v>DTM#2</v>
      </c>
      <c r="K6" s="70" t="str">
        <f>UPPER(CONCATENATE(B6,"P,",C6,D6,E6,"#",F6,",",G6,"M,",H6,"ft,",I6,"F"))</f>
        <v>48P,DTM#2,175M,100FT,70F</v>
      </c>
      <c r="L6" s="103">
        <f>IF(OR(AND(C6&gt;="D",C6&lt;="H"),AND(C6&gt;="J",C6&lt;="N"),AND(C6&gt;="P",C6&lt;="W")),IF(OR(AND(D6&gt;="A",D6&lt;="H"),AND(D6&gt;="J",D6&lt;="N"),AND(D6&gt;="P",D6&lt;="Z")),IF(OR(AND(E6&gt;="A",E6&lt;="H"),AND(E6&gt;="J",E6&lt;="N"),AND(E6&gt;="P",E6&lt;="Z")),"","Column 3 input not in database"),"Column 2 input not in database"),"Column 1 input not in Database")</f>
      </c>
      <c r="M6" s="66"/>
    </row>
    <row r="7" spans="1:13" ht="15.75" thickBot="1">
      <c r="A7" s="68" t="s">
        <v>97</v>
      </c>
      <c r="B7" s="108">
        <v>48</v>
      </c>
      <c r="C7" s="74" t="s">
        <v>3</v>
      </c>
      <c r="D7" s="74" t="s">
        <v>35</v>
      </c>
      <c r="E7" s="74" t="s">
        <v>47</v>
      </c>
      <c r="F7" s="74">
        <v>3</v>
      </c>
      <c r="G7" s="74">
        <v>170</v>
      </c>
      <c r="H7" s="93">
        <v>100</v>
      </c>
      <c r="I7" s="100">
        <v>70</v>
      </c>
      <c r="J7" s="70" t="str">
        <f>UPPER(CONCATENATE(,C7,D7,E7,"#",F7,))</f>
        <v>DTM#3</v>
      </c>
      <c r="K7" s="70" t="str">
        <f>UPPER(CONCATENATE(B7,"P,",C7,D7,E7,"#",F7,",",G7,"M,",H7,"ft,",I7,"F"))</f>
        <v>48P,DTM#3,170M,100FT,70F</v>
      </c>
      <c r="L7" s="103">
        <f>IF(OR(AND(C7&gt;="D",C7&lt;="H"),AND(C7&gt;="J",C7&lt;="N"),AND(C7&gt;="P",C7&lt;="W")),IF(OR(AND(D7&gt;="A",D7&lt;="H"),AND(D7&gt;="J",D7&lt;="N"),AND(D7&gt;="P",D7&lt;="Z")),IF(OR(AND(E7&gt;="A",E7&lt;="H"),AND(E7&gt;="J",E7&lt;="N"),AND(E7&gt;="P",E7&lt;="Z")),"","Column 3 input not in database"),"Column 2 input not in database"),"Column 1 input not in Database")</f>
      </c>
      <c r="M7" s="66"/>
    </row>
    <row r="8" spans="1:13" ht="15.75" thickBot="1">
      <c r="A8" s="68" t="s">
        <v>98</v>
      </c>
      <c r="B8" s="108">
        <v>48</v>
      </c>
      <c r="C8" s="74" t="s">
        <v>3</v>
      </c>
      <c r="D8" s="74" t="s">
        <v>35</v>
      </c>
      <c r="E8" s="74" t="s">
        <v>47</v>
      </c>
      <c r="F8" s="74">
        <v>4</v>
      </c>
      <c r="G8" s="74">
        <v>170</v>
      </c>
      <c r="H8" s="93">
        <v>100</v>
      </c>
      <c r="I8" s="100">
        <v>70</v>
      </c>
      <c r="J8" s="70" t="str">
        <f>UPPER(CONCATENATE(,C8,D8,E8,"#",F8,))</f>
        <v>DTM#4</v>
      </c>
      <c r="K8" s="70" t="str">
        <f>UPPER(CONCATENATE(B8,"P,",C8,D8,E8,"#",F8,",",G8,"M,",H8,"ft,",I8,"F"))</f>
        <v>48P,DTM#4,170M,100FT,70F</v>
      </c>
      <c r="L8" s="103">
        <f>IF(OR(AND(C8&gt;="D",C8&lt;="H"),AND(C8&gt;="J",C8&lt;="N"),AND(C8&gt;="P",C8&lt;="W")),IF(OR(AND(D8&gt;="A",D8&lt;="H"),AND(D8&gt;="J",D8&lt;="N"),AND(D8&gt;="P",D8&lt;="Z")),IF(OR(AND(E8&gt;="A",E8&lt;="H"),AND(E8&gt;="J",E8&lt;="N"),AND(E8&gt;="P",E8&lt;="Z")),"","Column 3 input not in database"),"Column 2 input not in database"),"Column 1 input not in Database")</f>
      </c>
      <c r="M8" s="66"/>
    </row>
    <row r="9" spans="1:13" ht="15.75" thickBot="1">
      <c r="A9" s="68" t="s">
        <v>295</v>
      </c>
      <c r="B9" s="108">
        <v>48</v>
      </c>
      <c r="C9" s="74" t="s">
        <v>3</v>
      </c>
      <c r="D9" s="74" t="s">
        <v>35</v>
      </c>
      <c r="E9" s="74" t="s">
        <v>47</v>
      </c>
      <c r="F9" s="74">
        <v>5</v>
      </c>
      <c r="G9" s="74">
        <v>170</v>
      </c>
      <c r="H9" s="93">
        <v>100</v>
      </c>
      <c r="I9" s="100">
        <v>70</v>
      </c>
      <c r="J9" s="70" t="str">
        <f>UPPER(CONCATENATE(,C9,D9,E9,"#",F9,))</f>
        <v>DTM#5</v>
      </c>
      <c r="K9" s="70" t="str">
        <f>UPPER(CONCATENATE(B9,"P,",C9,D9,E9,"#",F9,",",G9,"M,",H9,"ft,",I9,"F"))</f>
        <v>48P,DTM#5,170M,100FT,70F</v>
      </c>
      <c r="L9" s="103">
        <f>IF(OR(AND(C9&gt;="D",C9&lt;="H"),AND(C9&gt;="J",C9&lt;="N"),AND(C9&gt;="P",C9&lt;="W")),IF(OR(AND(D9&gt;="A",D9&lt;="H"),AND(D9&gt;="J",D9&lt;="N"),AND(D9&gt;="P",D9&lt;="Z")),IF(OR(AND(E9&gt;="A",E9&lt;="H"),AND(E9&gt;="J",E9&lt;="N"),AND(E9&gt;="P",E9&lt;="Z")),"","Column 3 input not in database"),"Column 2 input not in database"),"Column 1 input not in Database")</f>
      </c>
      <c r="M9" s="66"/>
    </row>
    <row r="10" spans="1:13" ht="15.75" thickBot="1">
      <c r="A10" s="109" t="s">
        <v>296</v>
      </c>
      <c r="B10" s="108">
        <v>48</v>
      </c>
      <c r="C10" s="74" t="s">
        <v>3</v>
      </c>
      <c r="D10" s="74" t="s">
        <v>35</v>
      </c>
      <c r="E10" s="74" t="s">
        <v>47</v>
      </c>
      <c r="F10" s="74">
        <v>6</v>
      </c>
      <c r="G10" s="74">
        <v>168</v>
      </c>
      <c r="H10" s="93">
        <v>100</v>
      </c>
      <c r="I10" s="100">
        <v>70</v>
      </c>
      <c r="J10" s="70" t="str">
        <f>UPPER(CONCATENATE(,C10,D10,E10,"#",F10,))</f>
        <v>DTM#6</v>
      </c>
      <c r="K10" s="70" t="str">
        <f>UPPER(CONCATENATE(B10,"P,",C10,D10,E10,"#",F10,",",G10,"M,",H10,"ft,",I10,"F"))</f>
        <v>48P,DTM#6,168M,100FT,70F</v>
      </c>
      <c r="L10" s="103">
        <f>IF(OR(AND(C10&gt;="D",C10&lt;="H"),AND(C10&gt;="J",C10&lt;="N"),AND(C10&gt;="P",C10&lt;="W")),IF(OR(AND(D10&gt;="A",D10&lt;="H"),AND(D10&gt;="J",D10&lt;="N"),AND(D10&gt;="P",D10&lt;="Z")),IF(OR(AND(E10&gt;="A",E10&lt;="H"),AND(E10&gt;="J",E10&lt;="N"),AND(E10&gt;="P",E10&lt;="Z")),"","Column 3 input not in database"),"Column 2 input not in database"),"Column 1 input not in Database")</f>
      </c>
      <c r="M10" s="1"/>
    </row>
    <row r="11" spans="1:9" ht="12.75">
      <c r="A11" s="91"/>
      <c r="B11" s="94"/>
      <c r="C11" s="92"/>
      <c r="D11" s="94"/>
      <c r="E11" s="94"/>
      <c r="F11" s="94"/>
      <c r="G11" s="92"/>
      <c r="H11" s="92"/>
      <c r="I11" s="92"/>
    </row>
    <row r="12" spans="1:10" ht="12.75">
      <c r="A12" s="16"/>
      <c r="B12" s="105"/>
      <c r="C12" s="16"/>
      <c r="D12" s="105"/>
      <c r="E12" s="105"/>
      <c r="F12" s="16"/>
      <c r="G12" s="105"/>
      <c r="H12" s="105"/>
      <c r="I12" s="105"/>
      <c r="J12" s="16"/>
    </row>
    <row r="13" spans="1:13" ht="15">
      <c r="A13" s="92"/>
      <c r="B13" s="106"/>
      <c r="C13" s="16"/>
      <c r="D13" s="106"/>
      <c r="E13" s="106"/>
      <c r="F13" s="16"/>
      <c r="G13" s="106"/>
      <c r="H13" s="106"/>
      <c r="I13" s="106"/>
      <c r="J13" s="16"/>
      <c r="M13" s="3"/>
    </row>
    <row r="14" spans="1:10" ht="15">
      <c r="A14" s="92"/>
      <c r="B14" s="106"/>
      <c r="C14" s="16"/>
      <c r="D14" s="106"/>
      <c r="E14" s="106"/>
      <c r="F14" s="16"/>
      <c r="G14" s="106"/>
      <c r="H14" s="106"/>
      <c r="I14" s="106"/>
      <c r="J14" s="16"/>
    </row>
    <row r="15" spans="1:10" ht="15">
      <c r="A15" s="92"/>
      <c r="B15" s="106"/>
      <c r="C15" s="16"/>
      <c r="D15" s="106"/>
      <c r="E15" s="106"/>
      <c r="F15" s="16"/>
      <c r="G15" s="106"/>
      <c r="H15" s="106"/>
      <c r="I15" s="106"/>
      <c r="J15" s="16"/>
    </row>
    <row r="41" ht="12.75">
      <c r="I41" s="3" t="s">
        <v>137</v>
      </c>
    </row>
    <row r="43" ht="12.75">
      <c r="A43" s="3" t="s">
        <v>278</v>
      </c>
    </row>
    <row r="44" spans="9:11" ht="12.75">
      <c r="I44" s="3" t="s">
        <v>203</v>
      </c>
      <c r="K44" s="3" t="s">
        <v>116</v>
      </c>
    </row>
    <row r="45" spans="1:11" ht="12.75">
      <c r="A45" s="3" t="s">
        <v>127</v>
      </c>
      <c r="I45" s="3" t="s">
        <v>211</v>
      </c>
      <c r="K45" s="3"/>
    </row>
    <row r="46" spans="1:11" ht="12.75">
      <c r="A46" s="3" t="s">
        <v>133</v>
      </c>
      <c r="I46" s="3" t="s">
        <v>210</v>
      </c>
      <c r="K46" s="3"/>
    </row>
    <row r="47" ht="12.75">
      <c r="A47" s="3" t="s">
        <v>134</v>
      </c>
    </row>
    <row r="48" spans="1:9" ht="12.75">
      <c r="A48" s="3" t="s">
        <v>142</v>
      </c>
      <c r="I48" s="3" t="s">
        <v>206</v>
      </c>
    </row>
    <row r="49" spans="1:9" ht="12.75">
      <c r="A49" s="3" t="s">
        <v>128</v>
      </c>
      <c r="I49" s="3" t="s">
        <v>213</v>
      </c>
    </row>
    <row r="50" spans="1:9" ht="12.75">
      <c r="A50" s="3" t="s">
        <v>198</v>
      </c>
      <c r="I50" s="3" t="s">
        <v>212</v>
      </c>
    </row>
    <row r="51" ht="12.75">
      <c r="A51" s="3" t="s">
        <v>130</v>
      </c>
    </row>
    <row r="52" spans="1:9" ht="12.75">
      <c r="A52" s="3" t="s">
        <v>129</v>
      </c>
      <c r="I52" s="3" t="s">
        <v>209</v>
      </c>
    </row>
    <row r="53" spans="1:9" ht="12.75">
      <c r="A53" s="3" t="s">
        <v>131</v>
      </c>
      <c r="I53" s="3" t="s">
        <v>215</v>
      </c>
    </row>
    <row r="54" spans="1:9" ht="12.75">
      <c r="A54" s="1"/>
      <c r="I54" s="3" t="s">
        <v>214</v>
      </c>
    </row>
    <row r="55" ht="12.75">
      <c r="A55" s="3"/>
    </row>
    <row r="56" ht="12.75">
      <c r="A56" s="3" t="s">
        <v>135</v>
      </c>
    </row>
    <row r="58" ht="12.75">
      <c r="A58" s="3" t="s">
        <v>200</v>
      </c>
    </row>
    <row r="59" ht="12.75">
      <c r="A59" s="3" t="s">
        <v>199</v>
      </c>
    </row>
    <row r="60" ht="12.75">
      <c r="A60" s="3" t="s">
        <v>201</v>
      </c>
    </row>
    <row r="63" spans="1:11" ht="12.75">
      <c r="A63" s="154" t="s">
        <v>249</v>
      </c>
      <c r="B63" s="154"/>
      <c r="C63" s="154"/>
      <c r="D63" s="154"/>
      <c r="E63" s="154"/>
      <c r="F63" s="154"/>
      <c r="G63" s="154"/>
      <c r="H63" s="154"/>
      <c r="I63" s="154"/>
      <c r="J63" s="154"/>
      <c r="K63" s="154"/>
    </row>
    <row r="67" ht="12.75">
      <c r="C67" s="3"/>
    </row>
    <row r="68" ht="12.75">
      <c r="D68" s="3"/>
    </row>
  </sheetData>
  <sheetProtection password="87AF" sheet="1" objects="1" scenarios="1"/>
  <mergeCells count="12">
    <mergeCell ref="A3:A5"/>
    <mergeCell ref="L3:L5"/>
    <mergeCell ref="A63:K63"/>
    <mergeCell ref="B2:G2"/>
    <mergeCell ref="B3:B5"/>
    <mergeCell ref="K3:K5"/>
    <mergeCell ref="C3:E4"/>
    <mergeCell ref="F3:F4"/>
    <mergeCell ref="G3:G5"/>
    <mergeCell ref="H3:H5"/>
    <mergeCell ref="I3:I5"/>
    <mergeCell ref="J3:J5"/>
  </mergeCells>
  <conditionalFormatting sqref="A5">
    <cfRule type="cellIs" priority="1" dxfId="1" operator="equal" stopIfTrue="1">
      <formula>"""ERROR"""</formula>
    </cfRule>
  </conditionalFormatting>
  <conditionalFormatting sqref="M6:M10">
    <cfRule type="cellIs" priority="2" dxfId="0" operator="equal" stopIfTrue="1">
      <formula>"ERROR"</formula>
    </cfRule>
  </conditionalFormatting>
  <conditionalFormatting sqref="F6:F10">
    <cfRule type="cellIs" priority="3" dxfId="0" operator="notBetween" stopIfTrue="1">
      <formula>1</formula>
      <formula>7</formula>
    </cfRule>
  </conditionalFormatting>
  <conditionalFormatting sqref="L6:L10">
    <cfRule type="cellIs" priority="4" dxfId="0" operator="notEqual" stopIfTrue="1">
      <formula>""</formula>
    </cfRule>
  </conditionalFormatting>
  <conditionalFormatting sqref="B11:I12 A13:A15 A6:A11">
    <cfRule type="cellIs" priority="5" dxfId="1" operator="equal" stopIfTrue="1">
      <formula>"incorrect combination"</formula>
    </cfRule>
  </conditionalFormatting>
  <printOptions/>
  <pageMargins left="0.75" right="0.75" top="1" bottom="1" header="0.5" footer="0.5"/>
  <pageSetup fitToHeight="1" fitToWidth="1" horizontalDpi="600" verticalDpi="600" orientation="landscape" scale="58" r:id="rId2"/>
  <headerFooter alignWithMargins="0">
    <oddFooter>&amp;C&amp;F&amp;R&amp;D</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38">
      <selection activeCell="T1" sqref="T1"/>
    </sheetView>
  </sheetViews>
  <sheetFormatPr defaultColWidth="11.421875" defaultRowHeight="12.75"/>
  <cols>
    <col min="1" max="13" width="9.140625" style="0" customWidth="1"/>
    <col min="14" max="14" width="47.8515625" style="0" customWidth="1"/>
    <col min="15" max="16384" width="9.140625" style="0" customWidth="1"/>
  </cols>
  <sheetData>
    <row r="1" ht="12.75">
      <c r="A1" s="3" t="s">
        <v>249</v>
      </c>
    </row>
  </sheetData>
  <sheetProtection password="87AF" sheet="1" objects="1" scenarios="1"/>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N20" sqref="N20"/>
    </sheetView>
  </sheetViews>
  <sheetFormatPr defaultColWidth="11.421875" defaultRowHeight="12.75"/>
  <cols>
    <col min="1" max="13" width="9.140625" style="0" customWidth="1"/>
    <col min="14" max="14" width="49.57421875" style="0" customWidth="1"/>
    <col min="15" max="16384" width="9.140625" style="0" customWidth="1"/>
  </cols>
  <sheetData>
    <row r="1" ht="12.75">
      <c r="A1" s="3" t="s">
        <v>249</v>
      </c>
    </row>
  </sheetData>
  <sheetProtection password="87AF" sheet="1" objects="1" scenario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V85"/>
  <sheetViews>
    <sheetView workbookViewId="0" topLeftCell="B89">
      <selection activeCell="K29" sqref="K29"/>
    </sheetView>
  </sheetViews>
  <sheetFormatPr defaultColWidth="11.421875" defaultRowHeight="12.75"/>
  <cols>
    <col min="1" max="16384" width="9.140625" style="0" customWidth="1"/>
  </cols>
  <sheetData>
    <row r="1" ht="12.75">
      <c r="A1" s="3" t="s">
        <v>249</v>
      </c>
    </row>
    <row r="2" spans="2:22" ht="12.75">
      <c r="B2" s="90" t="s">
        <v>244</v>
      </c>
      <c r="M2" s="90" t="s">
        <v>245</v>
      </c>
      <c r="V2" s="90" t="s">
        <v>143</v>
      </c>
    </row>
    <row r="3" spans="3:14" ht="12.75">
      <c r="C3" s="90" t="s">
        <v>225</v>
      </c>
      <c r="N3" s="90" t="s">
        <v>253</v>
      </c>
    </row>
    <row r="29" spans="2:22" ht="12.75">
      <c r="B29" s="90" t="s">
        <v>222</v>
      </c>
      <c r="M29" s="90" t="s">
        <v>247</v>
      </c>
      <c r="V29" s="90" t="s">
        <v>144</v>
      </c>
    </row>
    <row r="30" spans="3:14" ht="12.75">
      <c r="C30" s="90" t="s">
        <v>227</v>
      </c>
      <c r="N30" s="90" t="s">
        <v>248</v>
      </c>
    </row>
    <row r="55" ht="12.75">
      <c r="B55" s="90"/>
    </row>
    <row r="56" spans="2:22" ht="12.75">
      <c r="B56" s="90" t="s">
        <v>224</v>
      </c>
      <c r="M56" s="90" t="s">
        <v>145</v>
      </c>
      <c r="V56" s="90" t="s">
        <v>223</v>
      </c>
    </row>
    <row r="57" spans="3:20" ht="12.75">
      <c r="C57" s="90" t="s">
        <v>226</v>
      </c>
      <c r="N57" s="90" t="s">
        <v>246</v>
      </c>
      <c r="T57" s="90"/>
    </row>
    <row r="84" ht="12.75">
      <c r="B84" s="90" t="s">
        <v>252</v>
      </c>
    </row>
    <row r="85" ht="12.75">
      <c r="C85" s="90" t="s">
        <v>253</v>
      </c>
    </row>
  </sheetData>
  <sheetProtection password="87AF" sheet="1" objects="1" scenarios="1"/>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N1" sqref="N1"/>
    </sheetView>
  </sheetViews>
  <sheetFormatPr defaultColWidth="11.421875" defaultRowHeight="12.75"/>
  <cols>
    <col min="1" max="16384" width="9.140625" style="0" customWidth="1"/>
  </cols>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48340</dc:creator>
  <cp:keywords/>
  <dc:description/>
  <cp:lastModifiedBy>name</cp:lastModifiedBy>
  <cp:lastPrinted>2002-08-15T23:31:21Z</cp:lastPrinted>
  <dcterms:created xsi:type="dcterms:W3CDTF">2001-09-05T11:38:42Z</dcterms:created>
  <dcterms:modified xsi:type="dcterms:W3CDTF">2013-05-04T18:44:16Z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